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D7B81D2-C878-401F-8385-F05F1F0CDBF6}" xr6:coauthVersionLast="47" xr6:coauthVersionMax="47" xr10:uidLastSave="{00000000-0000-0000-0000-000000000000}"/>
  <bookViews>
    <workbookView xWindow="-26145" yWindow="15" windowWidth="25605" windowHeight="20970" tabRatio="830" firstSheet="1" activeTab="1" xr2:uid="{00000000-000D-0000-FFFF-FFFF00000000}"/>
  </bookViews>
  <sheets>
    <sheet name="__snloffice" sheetId="16" state="veryHidden" r:id="rId1"/>
    <sheet name="AEB-2 Summary" sheetId="1" r:id="rId2"/>
    <sheet name="AEB-3 Proxy Selection" sheetId="2" r:id="rId3"/>
    <sheet name="AEB-4 CGDCF" sheetId="3" r:id="rId4"/>
    <sheet name="AEB-5 CAPM&amp;ECAPM" sheetId="4" r:id="rId5"/>
    <sheet name="AEB-6 LT Beta" sheetId="8" r:id="rId6"/>
    <sheet name="AEB-7 Market Return" sheetId="7" r:id="rId7"/>
    <sheet name="AEB-8 RiskPrem" sheetId="6" r:id="rId8"/>
    <sheet name="AEB-9 Size Premium" sheetId="9" r:id="rId9"/>
    <sheet name="AEB-10 CapEx 1" sheetId="10" r:id="rId10"/>
    <sheet name="AEB-10 CapEx 2" sheetId="11" r:id="rId11"/>
    <sheet name="AEB-11 Reg Risk" sheetId="12" r:id="rId12"/>
    <sheet name="AEB-12 Weather Rank" sheetId="17" r:id="rId13"/>
    <sheet name="AEB-13 Flotation Costs" sheetId="13" r:id="rId14"/>
    <sheet name="AEB-14 Capital Structure" sheetId="14" r:id="rId15"/>
    <sheet name="AEB-15 Cost of Debt" sheetId="18" r:id="rId16"/>
  </sheets>
  <definedNames>
    <definedName name="IQ_CH">110000</definedName>
    <definedName name="IQ_CQ">5000</definedName>
    <definedName name="IQ_CY">10000</definedName>
    <definedName name="IQ_DAILY">500000</definedName>
    <definedName name="IQ_DNTM" hidden="1">700000</definedName>
    <definedName name="IQ_EXPENSE_CODE_" hidden="1">"0"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44626.8089467593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9">'AEB-10 CapEx 1'!$A$1:$J$51</definedName>
    <definedName name="_xlnm.Print_Area" localSheetId="10">'AEB-10 CapEx 2'!$A$1:$E$40</definedName>
    <definedName name="_xlnm.Print_Area" localSheetId="12">'AEB-12 Weather Rank'!$A$1:$H$41</definedName>
    <definedName name="_xlnm.Print_Area" localSheetId="13">'AEB-13 Flotation Costs'!$A$1:$M$59</definedName>
    <definedName name="_xlnm.Print_Area" localSheetId="14">'AEB-14 Capital Structure'!$A$1:$AF$37</definedName>
    <definedName name="_xlnm.Print_Area" localSheetId="15">'AEB-15 Cost of Debt'!$B$1:$S$47</definedName>
    <definedName name="_xlnm.Print_Area" localSheetId="1">'AEB-2 Summary'!$B$3:$E$30</definedName>
    <definedName name="_xlnm.Print_Area" localSheetId="2">'AEB-3 Proxy Selection'!$B$3:$J$20</definedName>
    <definedName name="_xlnm.Print_Area" localSheetId="3">'AEB-4 CGDCF'!$A$2:$M$28,'AEB-4 CGDCF'!$A$32:$M$58,'AEB-4 CGDCF'!$A$62:$M$88</definedName>
    <definedName name="_xlnm.Print_Area" localSheetId="4">'AEB-5 CAPM&amp;ECAPM'!$B$2:$I$25,'AEB-5 CAPM&amp;ECAPM'!$B$28:$I$51,'AEB-5 CAPM&amp;ECAPM'!$B$54:$I$77,'AEB-5 CAPM&amp;ECAPM'!$B$80:$I$103,'AEB-5 CAPM&amp;ECAPM'!$B$106:$I$129,'AEB-5 CAPM&amp;ECAPM'!$B$132:$I$155,'AEB-5 CAPM&amp;ECAPM'!$B$158:$I$181,'AEB-5 CAPM&amp;ECAPM'!$B$184:$I$207,'AEB-5 CAPM&amp;ECAPM'!$B$210:$I$233</definedName>
    <definedName name="_xlnm.Print_Area" localSheetId="5">'AEB-6 LT Beta'!$A$2:$N$26</definedName>
    <definedName name="_xlnm.Print_Area" localSheetId="6">'AEB-7 Market Return'!$B$1:$K$529</definedName>
    <definedName name="_xlnm.Print_Area" localSheetId="7">'AEB-8 RiskPrem'!$G$2:$O$61,'AEB-8 RiskPrem'!$B$2:$E$181</definedName>
    <definedName name="_xlnm.Print_Area" localSheetId="8">'AEB-9 Size Premium'!$A$1:$H$59</definedName>
    <definedName name="_xlnm.Print_Titles" localSheetId="6">'AEB-7 Market Return'!$10:$14</definedName>
    <definedName name="_xlnm.Print_Titles" localSheetId="7">'AEB-8 RiskPrem'!$2:$5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8" l="1"/>
  <c r="N12" i="18" s="1"/>
  <c r="R12" i="18"/>
  <c r="S12" i="18"/>
  <c r="L13" i="18"/>
  <c r="N13" i="18" s="1"/>
  <c r="R13" i="18"/>
  <c r="S13" i="18"/>
  <c r="L14" i="18"/>
  <c r="N14" i="18" s="1"/>
  <c r="N25" i="18" s="1"/>
  <c r="R14" i="18"/>
  <c r="S14" i="18"/>
  <c r="L15" i="18"/>
  <c r="N15" i="18" s="1"/>
  <c r="R15" i="18"/>
  <c r="S15" i="18"/>
  <c r="L16" i="18"/>
  <c r="N16" i="18"/>
  <c r="R16" i="18"/>
  <c r="S16" i="18"/>
  <c r="L17" i="18"/>
  <c r="N17" i="18" s="1"/>
  <c r="R17" i="18"/>
  <c r="S17" i="18"/>
  <c r="L18" i="18"/>
  <c r="N18" i="18" s="1"/>
  <c r="R18" i="18"/>
  <c r="S18" i="18"/>
  <c r="L19" i="18"/>
  <c r="N19" i="18" s="1"/>
  <c r="R19" i="18"/>
  <c r="S19" i="18"/>
  <c r="L20" i="18"/>
  <c r="N20" i="18"/>
  <c r="R20" i="18"/>
  <c r="S20" i="18"/>
  <c r="L21" i="18"/>
  <c r="N21" i="18" s="1"/>
  <c r="R21" i="18"/>
  <c r="S21" i="18"/>
  <c r="D22" i="18"/>
  <c r="D25" i="18" s="1"/>
  <c r="D32" i="18" s="1"/>
  <c r="L24" i="18"/>
  <c r="N24" i="18" s="1"/>
  <c r="M25" i="18"/>
  <c r="L28" i="18"/>
  <c r="M28" i="18"/>
  <c r="M32" i="18" s="1"/>
  <c r="G5" i="14"/>
  <c r="J5" i="14"/>
  <c r="R5" i="14" s="1"/>
  <c r="K5" i="14"/>
  <c r="S5" i="14" s="1"/>
  <c r="AA5" i="14" s="1"/>
  <c r="O5" i="14"/>
  <c r="W5" i="14"/>
  <c r="Z5" i="14"/>
  <c r="AE5" i="14"/>
  <c r="G6" i="14"/>
  <c r="J6" i="14"/>
  <c r="R6" i="14" s="1"/>
  <c r="Z6" i="14" s="1"/>
  <c r="K6" i="14"/>
  <c r="O6" i="14"/>
  <c r="S6" i="14"/>
  <c r="AA6" i="14" s="1"/>
  <c r="W6" i="14"/>
  <c r="AE6" i="14"/>
  <c r="G7" i="14"/>
  <c r="J7" i="14"/>
  <c r="R7" i="14" s="1"/>
  <c r="Z7" i="14" s="1"/>
  <c r="K7" i="14"/>
  <c r="O7" i="14"/>
  <c r="S7" i="14"/>
  <c r="AA7" i="14" s="1"/>
  <c r="W7" i="14"/>
  <c r="AE7" i="14"/>
  <c r="G8" i="14"/>
  <c r="J8" i="14"/>
  <c r="R8" i="14" s="1"/>
  <c r="Z8" i="14" s="1"/>
  <c r="K8" i="14"/>
  <c r="O8" i="14"/>
  <c r="S8" i="14"/>
  <c r="AA8" i="14" s="1"/>
  <c r="W8" i="14"/>
  <c r="AE8" i="14"/>
  <c r="G9" i="14"/>
  <c r="J9" i="14"/>
  <c r="R9" i="14" s="1"/>
  <c r="Z9" i="14" s="1"/>
  <c r="K9" i="14"/>
  <c r="S9" i="14" s="1"/>
  <c r="AA9" i="14" s="1"/>
  <c r="O9" i="14"/>
  <c r="W9" i="14"/>
  <c r="AE9" i="14"/>
  <c r="D12" i="14"/>
  <c r="G12" i="14" s="1"/>
  <c r="E12" i="14"/>
  <c r="F12" i="14"/>
  <c r="L12" i="14"/>
  <c r="M12" i="14"/>
  <c r="O12" i="14" s="1"/>
  <c r="N12" i="14"/>
  <c r="T12" i="14"/>
  <c r="W12" i="14" s="1"/>
  <c r="U12" i="14"/>
  <c r="V12" i="14"/>
  <c r="AB12" i="14"/>
  <c r="AC12" i="14"/>
  <c r="AE12" i="14" s="1"/>
  <c r="AD12" i="14"/>
  <c r="D13" i="14"/>
  <c r="G13" i="14" s="1"/>
  <c r="E13" i="14"/>
  <c r="F13" i="14"/>
  <c r="L13" i="14"/>
  <c r="M13" i="14"/>
  <c r="O13" i="14" s="1"/>
  <c r="N13" i="14"/>
  <c r="T13" i="14"/>
  <c r="U13" i="14"/>
  <c r="W13" i="14" s="1"/>
  <c r="V13" i="14"/>
  <c r="AB13" i="14"/>
  <c r="AC13" i="14"/>
  <c r="AE13" i="14" s="1"/>
  <c r="AD13" i="14"/>
  <c r="D14" i="14"/>
  <c r="E14" i="14"/>
  <c r="G14" i="14" s="1"/>
  <c r="F14" i="14"/>
  <c r="L14" i="14"/>
  <c r="M14" i="14"/>
  <c r="O14" i="14" s="1"/>
  <c r="N14" i="14"/>
  <c r="T14" i="14"/>
  <c r="U14" i="14"/>
  <c r="W14" i="14" s="1"/>
  <c r="V14" i="14"/>
  <c r="AB14" i="14"/>
  <c r="AC14" i="14"/>
  <c r="AE14" i="14" s="1"/>
  <c r="AD14" i="14"/>
  <c r="G19" i="14"/>
  <c r="J19" i="14"/>
  <c r="R19" i="14" s="1"/>
  <c r="Z19" i="14" s="1"/>
  <c r="K19" i="14"/>
  <c r="O19" i="14"/>
  <c r="S19" i="14"/>
  <c r="AA19" i="14" s="1"/>
  <c r="W19" i="14"/>
  <c r="AE19" i="14"/>
  <c r="G20" i="14"/>
  <c r="J20" i="14"/>
  <c r="R20" i="14" s="1"/>
  <c r="Z20" i="14" s="1"/>
  <c r="K20" i="14"/>
  <c r="O20" i="14"/>
  <c r="S20" i="14"/>
  <c r="AA20" i="14" s="1"/>
  <c r="W20" i="14"/>
  <c r="AE20" i="14"/>
  <c r="G21" i="14"/>
  <c r="J21" i="14"/>
  <c r="R21" i="14" s="1"/>
  <c r="Z21" i="14" s="1"/>
  <c r="K21" i="14"/>
  <c r="O21" i="14"/>
  <c r="S21" i="14"/>
  <c r="AA21" i="14" s="1"/>
  <c r="W21" i="14"/>
  <c r="AE21" i="14"/>
  <c r="G22" i="14"/>
  <c r="J22" i="14"/>
  <c r="R22" i="14" s="1"/>
  <c r="Z22" i="14" s="1"/>
  <c r="K22" i="14"/>
  <c r="O22" i="14"/>
  <c r="S22" i="14"/>
  <c r="AA22" i="14" s="1"/>
  <c r="W22" i="14"/>
  <c r="AE22" i="14"/>
  <c r="G23" i="14"/>
  <c r="J23" i="14"/>
  <c r="R23" i="14" s="1"/>
  <c r="Z23" i="14" s="1"/>
  <c r="K23" i="14"/>
  <c r="O23" i="14"/>
  <c r="S23" i="14"/>
  <c r="AA23" i="14" s="1"/>
  <c r="W23" i="14"/>
  <c r="AE23" i="14"/>
  <c r="G24" i="14"/>
  <c r="J24" i="14"/>
  <c r="R24" i="14" s="1"/>
  <c r="Z24" i="14" s="1"/>
  <c r="K24" i="14"/>
  <c r="O24" i="14"/>
  <c r="S24" i="14"/>
  <c r="AA24" i="14" s="1"/>
  <c r="W24" i="14"/>
  <c r="AE24" i="14"/>
  <c r="G25" i="14"/>
  <c r="J25" i="14"/>
  <c r="R25" i="14" s="1"/>
  <c r="Z25" i="14" s="1"/>
  <c r="K25" i="14"/>
  <c r="O25" i="14"/>
  <c r="S25" i="14"/>
  <c r="AA25" i="14" s="1"/>
  <c r="W25" i="14"/>
  <c r="AE25" i="14"/>
  <c r="G26" i="14"/>
  <c r="J26" i="14"/>
  <c r="R26" i="14" s="1"/>
  <c r="K26" i="14"/>
  <c r="O26" i="14"/>
  <c r="S26" i="14"/>
  <c r="AA26" i="14" s="1"/>
  <c r="W26" i="14"/>
  <c r="Z26" i="14"/>
  <c r="AE26" i="14"/>
  <c r="G27" i="14"/>
  <c r="J27" i="14"/>
  <c r="R27" i="14" s="1"/>
  <c r="Z27" i="14" s="1"/>
  <c r="K27" i="14"/>
  <c r="O27" i="14"/>
  <c r="S27" i="14"/>
  <c r="AA27" i="14" s="1"/>
  <c r="W27" i="14"/>
  <c r="AE27" i="14"/>
  <c r="G28" i="14"/>
  <c r="J28" i="14"/>
  <c r="R28" i="14" s="1"/>
  <c r="Z28" i="14" s="1"/>
  <c r="K28" i="14"/>
  <c r="O28" i="14"/>
  <c r="S28" i="14"/>
  <c r="AA28" i="14" s="1"/>
  <c r="W28" i="14"/>
  <c r="AE28" i="14"/>
  <c r="G29" i="14"/>
  <c r="J29" i="14"/>
  <c r="R29" i="14" s="1"/>
  <c r="Z29" i="14" s="1"/>
  <c r="K29" i="14"/>
  <c r="O29" i="14"/>
  <c r="S29" i="14"/>
  <c r="AA29" i="14" s="1"/>
  <c r="W29" i="14"/>
  <c r="AE29" i="14"/>
  <c r="G30" i="14"/>
  <c r="J30" i="14"/>
  <c r="R30" i="14" s="1"/>
  <c r="K30" i="14"/>
  <c r="O30" i="14"/>
  <c r="S30" i="14"/>
  <c r="AA30" i="14" s="1"/>
  <c r="W30" i="14"/>
  <c r="Z30" i="14"/>
  <c r="AE30" i="14"/>
  <c r="G31" i="14"/>
  <c r="J31" i="14"/>
  <c r="R31" i="14" s="1"/>
  <c r="Z31" i="14" s="1"/>
  <c r="K31" i="14"/>
  <c r="O31" i="14"/>
  <c r="S31" i="14"/>
  <c r="AA31" i="14" s="1"/>
  <c r="W31" i="14"/>
  <c r="AE31" i="14"/>
  <c r="G32" i="14"/>
  <c r="J32" i="14"/>
  <c r="R32" i="14" s="1"/>
  <c r="Z32" i="14" s="1"/>
  <c r="K32" i="14"/>
  <c r="O32" i="14"/>
  <c r="S32" i="14"/>
  <c r="AA32" i="14" s="1"/>
  <c r="W32" i="14"/>
  <c r="AE32" i="14"/>
  <c r="G33" i="14"/>
  <c r="J33" i="14"/>
  <c r="R33" i="14" s="1"/>
  <c r="Z33" i="14" s="1"/>
  <c r="K33" i="14"/>
  <c r="O33" i="14"/>
  <c r="S33" i="14"/>
  <c r="AA33" i="14" s="1"/>
  <c r="W33" i="14"/>
  <c r="AE33" i="14"/>
  <c r="J36" i="14"/>
  <c r="Z36" i="14" s="1"/>
  <c r="R36" i="14"/>
  <c r="J37" i="14"/>
  <c r="R37" i="14" s="1"/>
  <c r="Z37" i="14" s="1"/>
  <c r="I7" i="13"/>
  <c r="H7" i="13"/>
  <c r="I8" i="13"/>
  <c r="I10" i="13" s="1"/>
  <c r="H8" i="13"/>
  <c r="K8" i="13"/>
  <c r="C26" i="13"/>
  <c r="D26" i="13"/>
  <c r="E26" i="13"/>
  <c r="H26" i="13"/>
  <c r="K26" i="13" s="1"/>
  <c r="I26" i="13"/>
  <c r="J26" i="13"/>
  <c r="C27" i="13"/>
  <c r="D27" i="13"/>
  <c r="E27" i="13"/>
  <c r="H27" i="13"/>
  <c r="I27" i="13"/>
  <c r="J27" i="13"/>
  <c r="K27" i="13" s="1"/>
  <c r="C28" i="13"/>
  <c r="E28" i="13" s="1"/>
  <c r="D28" i="13"/>
  <c r="H28" i="13"/>
  <c r="I28" i="13"/>
  <c r="J28" i="13"/>
  <c r="K28" i="13"/>
  <c r="C29" i="13"/>
  <c r="D29" i="13"/>
  <c r="E29" i="13" s="1"/>
  <c r="H29" i="13"/>
  <c r="K29" i="13" s="1"/>
  <c r="I29" i="13"/>
  <c r="J29" i="13"/>
  <c r="C30" i="13"/>
  <c r="D30" i="13"/>
  <c r="E30" i="13"/>
  <c r="H30" i="13"/>
  <c r="I30" i="13"/>
  <c r="K30" i="13" s="1"/>
  <c r="J30" i="13"/>
  <c r="D9" i="17"/>
  <c r="E9" i="17"/>
  <c r="D10" i="17"/>
  <c r="E10" i="17" s="1"/>
  <c r="D11" i="17"/>
  <c r="E11" i="17"/>
  <c r="D12" i="17"/>
  <c r="E12" i="17" s="1"/>
  <c r="D13" i="17"/>
  <c r="E13" i="17"/>
  <c r="D14" i="17"/>
  <c r="E14" i="17" s="1"/>
  <c r="D16" i="17"/>
  <c r="E16" i="17"/>
  <c r="D17" i="17"/>
  <c r="E17" i="17" s="1"/>
  <c r="D18" i="17"/>
  <c r="E18" i="17"/>
  <c r="D19" i="17"/>
  <c r="E19" i="17" s="1"/>
  <c r="D20" i="17"/>
  <c r="E20" i="17"/>
  <c r="D21" i="17"/>
  <c r="E21" i="17" s="1"/>
  <c r="D22" i="17"/>
  <c r="E22" i="17"/>
  <c r="D24" i="17"/>
  <c r="E24" i="17" s="1"/>
  <c r="D25" i="17"/>
  <c r="E25" i="17"/>
  <c r="D27" i="17"/>
  <c r="E27" i="17" s="1"/>
  <c r="D28" i="17"/>
  <c r="E28" i="17"/>
  <c r="D29" i="17"/>
  <c r="E29" i="17" s="1"/>
  <c r="D31" i="17"/>
  <c r="E31" i="17"/>
  <c r="D32" i="17"/>
  <c r="E32" i="17" s="1"/>
  <c r="D33" i="17"/>
  <c r="E33" i="17"/>
  <c r="D37" i="17"/>
  <c r="E37" i="17"/>
  <c r="L11" i="12"/>
  <c r="L12" i="12"/>
  <c r="L13" i="12"/>
  <c r="L14" i="12"/>
  <c r="L15" i="12"/>
  <c r="L16" i="12"/>
  <c r="L18" i="12"/>
  <c r="L19" i="12"/>
  <c r="L20" i="12"/>
  <c r="L21" i="12"/>
  <c r="L22" i="12"/>
  <c r="L23" i="12"/>
  <c r="L24" i="12"/>
  <c r="L26" i="12"/>
  <c r="L27" i="12"/>
  <c r="L29" i="12"/>
  <c r="L30" i="12"/>
  <c r="L31" i="12"/>
  <c r="L33" i="12"/>
  <c r="L34" i="12"/>
  <c r="L35" i="12"/>
  <c r="F39" i="12"/>
  <c r="I39" i="12"/>
  <c r="F40" i="12"/>
  <c r="F43" i="12" s="1"/>
  <c r="I40" i="12"/>
  <c r="I43" i="12" s="1"/>
  <c r="N40" i="12"/>
  <c r="N43" i="12" s="1"/>
  <c r="F41" i="12"/>
  <c r="N41" i="12"/>
  <c r="J8" i="10"/>
  <c r="F9" i="10"/>
  <c r="G9" i="10"/>
  <c r="H9" i="10" s="1"/>
  <c r="I9" i="10" s="1"/>
  <c r="G12" i="10"/>
  <c r="G14" i="10" s="1"/>
  <c r="I12" i="10"/>
  <c r="I14" i="10" s="1"/>
  <c r="G13" i="10"/>
  <c r="I13" i="10"/>
  <c r="E14" i="10"/>
  <c r="J14" i="10" s="1"/>
  <c r="F14" i="10"/>
  <c r="H14" i="10"/>
  <c r="G17" i="10"/>
  <c r="G19" i="10" s="1"/>
  <c r="I17" i="10"/>
  <c r="G18" i="10"/>
  <c r="I18" i="10"/>
  <c r="I19" i="10" s="1"/>
  <c r="E19" i="10"/>
  <c r="F19" i="10"/>
  <c r="J19" i="10" s="1"/>
  <c r="D30" i="11" s="1"/>
  <c r="H19" i="10"/>
  <c r="G22" i="10"/>
  <c r="G24" i="10" s="1"/>
  <c r="I22" i="10"/>
  <c r="G23" i="10"/>
  <c r="I23" i="10"/>
  <c r="E24" i="10"/>
  <c r="F24" i="10"/>
  <c r="H24" i="10"/>
  <c r="G27" i="10"/>
  <c r="I27" i="10"/>
  <c r="I29" i="10" s="1"/>
  <c r="J29" i="10" s="1"/>
  <c r="D28" i="11" s="1"/>
  <c r="G28" i="10"/>
  <c r="I28" i="10"/>
  <c r="E29" i="10"/>
  <c r="F29" i="10"/>
  <c r="G29" i="10"/>
  <c r="H29" i="10"/>
  <c r="G32" i="10"/>
  <c r="G34" i="10" s="1"/>
  <c r="I32" i="10"/>
  <c r="I34" i="10" s="1"/>
  <c r="G33" i="10"/>
  <c r="I33" i="10"/>
  <c r="E34" i="10"/>
  <c r="F34" i="10"/>
  <c r="H34" i="10"/>
  <c r="J38" i="10"/>
  <c r="D33" i="11" s="1"/>
  <c r="J42" i="10"/>
  <c r="J43" i="10"/>
  <c r="F17" i="9"/>
  <c r="F23" i="9"/>
  <c r="F46" i="9" s="1"/>
  <c r="G46" i="9"/>
  <c r="G49" i="9" s="1"/>
  <c r="G47" i="9"/>
  <c r="B59" i="9"/>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J47" i="6"/>
  <c r="K47" i="6" s="1"/>
  <c r="L47" i="6" s="1"/>
  <c r="E48" i="6"/>
  <c r="E49" i="6"/>
  <c r="J49" i="6"/>
  <c r="K49" i="6" s="1"/>
  <c r="L49" i="6" s="1"/>
  <c r="E50" i="6"/>
  <c r="E51" i="6"/>
  <c r="E52" i="6"/>
  <c r="E53" i="6"/>
  <c r="E54" i="6"/>
  <c r="E55" i="6"/>
  <c r="E56" i="6"/>
  <c r="E57" i="6"/>
  <c r="E58" i="6"/>
  <c r="E59" i="6"/>
  <c r="E60" i="6"/>
  <c r="G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C180" i="6"/>
  <c r="D180" i="6"/>
  <c r="C181" i="6"/>
  <c r="D181" i="6"/>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G227" i="7" s="1"/>
  <c r="I227" i="7" s="1"/>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G96" i="7" s="1"/>
  <c r="I96" i="7" s="1"/>
  <c r="F103" i="7"/>
  <c r="F104" i="7"/>
  <c r="F105" i="7"/>
  <c r="F106" i="7"/>
  <c r="F107" i="7"/>
  <c r="F108" i="7"/>
  <c r="F109" i="7"/>
  <c r="F110" i="7"/>
  <c r="F111" i="7"/>
  <c r="F112" i="7"/>
  <c r="F113" i="7"/>
  <c r="F114" i="7"/>
  <c r="F115" i="7"/>
  <c r="F116" i="7"/>
  <c r="F117" i="7"/>
  <c r="F118" i="7"/>
  <c r="G217" i="7" s="1"/>
  <c r="I217" i="7" s="1"/>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G223" i="7" s="1"/>
  <c r="F159" i="7"/>
  <c r="F160" i="7"/>
  <c r="F161" i="7"/>
  <c r="F162" i="7"/>
  <c r="F163" i="7"/>
  <c r="F164" i="7"/>
  <c r="F165" i="7"/>
  <c r="F166" i="7"/>
  <c r="G166" i="7" s="1"/>
  <c r="I166" i="7" s="1"/>
  <c r="F167" i="7"/>
  <c r="F168" i="7"/>
  <c r="F169" i="7"/>
  <c r="F170" i="7"/>
  <c r="F171" i="7"/>
  <c r="F172" i="7"/>
  <c r="F173" i="7"/>
  <c r="F174" i="7"/>
  <c r="F175" i="7"/>
  <c r="F176" i="7"/>
  <c r="F177" i="7"/>
  <c r="F178" i="7"/>
  <c r="F179" i="7"/>
  <c r="F180" i="7"/>
  <c r="F181" i="7"/>
  <c r="F182" i="7"/>
  <c r="F183" i="7"/>
  <c r="F184" i="7"/>
  <c r="F185" i="7"/>
  <c r="F186" i="7"/>
  <c r="F187" i="7"/>
  <c r="F188" i="7"/>
  <c r="F189" i="7"/>
  <c r="F190" i="7"/>
  <c r="G190" i="7" s="1"/>
  <c r="I190" i="7" s="1"/>
  <c r="F191" i="7"/>
  <c r="F192" i="7"/>
  <c r="F193" i="7"/>
  <c r="F194" i="7"/>
  <c r="F195" i="7"/>
  <c r="F196" i="7"/>
  <c r="F197" i="7"/>
  <c r="F198" i="7"/>
  <c r="F199" i="7"/>
  <c r="F200" i="7"/>
  <c r="F201" i="7"/>
  <c r="F202" i="7"/>
  <c r="F203" i="7"/>
  <c r="F204" i="7"/>
  <c r="F205" i="7"/>
  <c r="F206" i="7"/>
  <c r="F207" i="7"/>
  <c r="F208" i="7"/>
  <c r="F209" i="7"/>
  <c r="F210" i="7"/>
  <c r="F211" i="7"/>
  <c r="F212" i="7"/>
  <c r="F213" i="7"/>
  <c r="F214" i="7"/>
  <c r="G205" i="7" s="1"/>
  <c r="I205" i="7" s="1"/>
  <c r="F215" i="7"/>
  <c r="F216" i="7"/>
  <c r="F217" i="7"/>
  <c r="F218" i="7"/>
  <c r="F219" i="7"/>
  <c r="F220" i="7"/>
  <c r="F221" i="7"/>
  <c r="F222" i="7"/>
  <c r="F223" i="7"/>
  <c r="F224" i="7"/>
  <c r="F225" i="7"/>
  <c r="F226" i="7"/>
  <c r="F227" i="7"/>
  <c r="F228" i="7"/>
  <c r="F229" i="7"/>
  <c r="F230" i="7"/>
  <c r="G256" i="7" s="1"/>
  <c r="I256" i="7" s="1"/>
  <c r="F231" i="7"/>
  <c r="F232" i="7"/>
  <c r="F233" i="7"/>
  <c r="F234" i="7"/>
  <c r="F235" i="7"/>
  <c r="F236" i="7"/>
  <c r="F237" i="7"/>
  <c r="F238" i="7"/>
  <c r="G264" i="7" s="1"/>
  <c r="F239" i="7"/>
  <c r="F240" i="7"/>
  <c r="F241" i="7"/>
  <c r="F242" i="7"/>
  <c r="F243" i="7"/>
  <c r="F244" i="7"/>
  <c r="F245" i="7"/>
  <c r="F246" i="7"/>
  <c r="G285" i="7" s="1"/>
  <c r="F247" i="7"/>
  <c r="F248" i="7"/>
  <c r="F249" i="7"/>
  <c r="F250" i="7"/>
  <c r="F251" i="7"/>
  <c r="F252" i="7"/>
  <c r="F253" i="7"/>
  <c r="F254" i="7"/>
  <c r="F255" i="7"/>
  <c r="F256" i="7"/>
  <c r="F257" i="7"/>
  <c r="F258" i="7"/>
  <c r="F259" i="7"/>
  <c r="F260" i="7"/>
  <c r="F261" i="7"/>
  <c r="F262" i="7"/>
  <c r="G298" i="7" s="1"/>
  <c r="I298" i="7" s="1"/>
  <c r="F263" i="7"/>
  <c r="F264" i="7"/>
  <c r="F265" i="7"/>
  <c r="F266" i="7"/>
  <c r="F267" i="7"/>
  <c r="F268" i="7"/>
  <c r="F269" i="7"/>
  <c r="F270" i="7"/>
  <c r="G304" i="7" s="1"/>
  <c r="F271" i="7"/>
  <c r="F272" i="7"/>
  <c r="F273" i="7"/>
  <c r="F274" i="7"/>
  <c r="F275" i="7"/>
  <c r="F276" i="7"/>
  <c r="F277" i="7"/>
  <c r="F278" i="7"/>
  <c r="F279" i="7"/>
  <c r="F280" i="7"/>
  <c r="F281" i="7"/>
  <c r="F282" i="7"/>
  <c r="F283" i="7"/>
  <c r="F284" i="7"/>
  <c r="F285" i="7"/>
  <c r="F286" i="7"/>
  <c r="G333" i="7" s="1"/>
  <c r="F287" i="7"/>
  <c r="F288" i="7"/>
  <c r="F289" i="7"/>
  <c r="F290" i="7"/>
  <c r="F291" i="7"/>
  <c r="F292" i="7"/>
  <c r="F293" i="7"/>
  <c r="F294" i="7"/>
  <c r="F295" i="7"/>
  <c r="F296" i="7"/>
  <c r="F297" i="7"/>
  <c r="F298" i="7"/>
  <c r="F299" i="7"/>
  <c r="F300" i="7"/>
  <c r="F301" i="7"/>
  <c r="F302" i="7"/>
  <c r="G302" i="7" s="1"/>
  <c r="F303" i="7"/>
  <c r="F304" i="7"/>
  <c r="F305" i="7"/>
  <c r="F306" i="7"/>
  <c r="F307" i="7"/>
  <c r="F308" i="7"/>
  <c r="F309" i="7"/>
  <c r="F310" i="7"/>
  <c r="F311" i="7"/>
  <c r="F312" i="7"/>
  <c r="F313" i="7"/>
  <c r="F314" i="7"/>
  <c r="F315" i="7"/>
  <c r="F316" i="7"/>
  <c r="F317" i="7"/>
  <c r="F318" i="7"/>
  <c r="G318" i="7" s="1"/>
  <c r="I318" i="7" s="1"/>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G15" i="7"/>
  <c r="G19" i="7"/>
  <c r="I19" i="7" s="1"/>
  <c r="G20" i="7"/>
  <c r="I20" i="7" s="1"/>
  <c r="G23" i="7"/>
  <c r="I23" i="7" s="1"/>
  <c r="G24" i="7"/>
  <c r="I24" i="7" s="1"/>
  <c r="G26" i="7"/>
  <c r="I26" i="7" s="1"/>
  <c r="G30" i="7"/>
  <c r="I30" i="7" s="1"/>
  <c r="G31" i="7"/>
  <c r="I31" i="7" s="1"/>
  <c r="G37" i="7"/>
  <c r="I37" i="7" s="1"/>
  <c r="G40" i="7"/>
  <c r="I40" i="7" s="1"/>
  <c r="G42" i="7"/>
  <c r="I42" i="7" s="1"/>
  <c r="G48" i="7"/>
  <c r="I48" i="7" s="1"/>
  <c r="G50" i="7"/>
  <c r="I50" i="7" s="1"/>
  <c r="G54" i="7"/>
  <c r="I54" i="7" s="1"/>
  <c r="G56" i="7"/>
  <c r="I56" i="7" s="1"/>
  <c r="G57" i="7"/>
  <c r="I57" i="7"/>
  <c r="G61" i="7"/>
  <c r="I61" i="7" s="1"/>
  <c r="G62" i="7"/>
  <c r="I62" i="7" s="1"/>
  <c r="G66" i="7"/>
  <c r="I66" i="7" s="1"/>
  <c r="G67" i="7"/>
  <c r="I67" i="7" s="1"/>
  <c r="G69" i="7"/>
  <c r="I69" i="7" s="1"/>
  <c r="G75" i="7"/>
  <c r="I75" i="7" s="1"/>
  <c r="G78" i="7"/>
  <c r="I78" i="7" s="1"/>
  <c r="G79" i="7"/>
  <c r="I79" i="7" s="1"/>
  <c r="G83" i="7"/>
  <c r="I83" i="7" s="1"/>
  <c r="G85" i="7"/>
  <c r="I85" i="7"/>
  <c r="G86" i="7"/>
  <c r="I86" i="7" s="1"/>
  <c r="G88" i="7"/>
  <c r="I88" i="7" s="1"/>
  <c r="G89" i="7"/>
  <c r="I89" i="7"/>
  <c r="G93" i="7"/>
  <c r="I93" i="7" s="1"/>
  <c r="G94" i="7"/>
  <c r="I94" i="7" s="1"/>
  <c r="G103" i="7"/>
  <c r="I103" i="7" s="1"/>
  <c r="G106" i="7"/>
  <c r="I106" i="7" s="1"/>
  <c r="G108" i="7"/>
  <c r="I108" i="7" s="1"/>
  <c r="G109" i="7"/>
  <c r="I109" i="7" s="1"/>
  <c r="G111" i="7"/>
  <c r="I111" i="7" s="1"/>
  <c r="G115" i="7"/>
  <c r="I115" i="7" s="1"/>
  <c r="G120" i="7"/>
  <c r="I120" i="7" s="1"/>
  <c r="G126" i="7"/>
  <c r="I126" i="7" s="1"/>
  <c r="G133" i="7"/>
  <c r="I133" i="7" s="1"/>
  <c r="G134" i="7"/>
  <c r="I134" i="7" s="1"/>
  <c r="G137" i="7"/>
  <c r="I137" i="7"/>
  <c r="G139" i="7"/>
  <c r="I139" i="7" s="1"/>
  <c r="G140" i="7"/>
  <c r="I140" i="7" s="1"/>
  <c r="G142" i="7"/>
  <c r="I142" i="7" s="1"/>
  <c r="G146" i="7"/>
  <c r="I146" i="7" s="1"/>
  <c r="G147" i="7"/>
  <c r="I147" i="7" s="1"/>
  <c r="G150" i="7"/>
  <c r="I150" i="7" s="1"/>
  <c r="G152" i="7"/>
  <c r="I152" i="7" s="1"/>
  <c r="G155" i="7"/>
  <c r="I155" i="7" s="1"/>
  <c r="G160" i="7"/>
  <c r="I160" i="7" s="1"/>
  <c r="G165" i="7"/>
  <c r="I165" i="7" s="1"/>
  <c r="G171" i="7"/>
  <c r="I171" i="7" s="1"/>
  <c r="G173" i="7"/>
  <c r="I173" i="7" s="1"/>
  <c r="G174" i="7"/>
  <c r="I174" i="7" s="1"/>
  <c r="G177" i="7"/>
  <c r="I177" i="7"/>
  <c r="G179" i="7"/>
  <c r="I179" i="7" s="1"/>
  <c r="G182" i="7"/>
  <c r="I182" i="7" s="1"/>
  <c r="G185" i="7"/>
  <c r="I185" i="7"/>
  <c r="G188" i="7"/>
  <c r="I188" i="7" s="1"/>
  <c r="G192" i="7"/>
  <c r="I192" i="7" s="1"/>
  <c r="G196" i="7"/>
  <c r="I196" i="7" s="1"/>
  <c r="G198" i="7"/>
  <c r="I198" i="7" s="1"/>
  <c r="G208" i="7"/>
  <c r="I208" i="7" s="1"/>
  <c r="G210" i="7"/>
  <c r="I210" i="7" s="1"/>
  <c r="G211" i="7"/>
  <c r="I211" i="7" s="1"/>
  <c r="G216" i="7"/>
  <c r="I216" i="7" s="1"/>
  <c r="G222" i="7"/>
  <c r="G225" i="7"/>
  <c r="I225" i="7" s="1"/>
  <c r="G232" i="7"/>
  <c r="G239" i="7"/>
  <c r="K239" i="7" s="1"/>
  <c r="G240" i="7"/>
  <c r="I240" i="7" s="1"/>
  <c r="G242" i="7"/>
  <c r="I242" i="7" s="1"/>
  <c r="G243" i="7"/>
  <c r="I243" i="7" s="1"/>
  <c r="G244" i="7"/>
  <c r="I244" i="7" s="1"/>
  <c r="G248" i="7"/>
  <c r="I248" i="7" s="1"/>
  <c r="G252" i="7"/>
  <c r="I252" i="7" s="1"/>
  <c r="G253" i="7"/>
  <c r="I253" i="7" s="1"/>
  <c r="G254" i="7"/>
  <c r="I254" i="7" s="1"/>
  <c r="G266" i="7"/>
  <c r="I266" i="7" s="1"/>
  <c r="G267" i="7"/>
  <c r="I267" i="7" s="1"/>
  <c r="G269" i="7"/>
  <c r="I269" i="7" s="1"/>
  <c r="G271" i="7"/>
  <c r="K271" i="7" s="1"/>
  <c r="G272" i="7"/>
  <c r="I272" i="7" s="1"/>
  <c r="G275" i="7"/>
  <c r="I275" i="7" s="1"/>
  <c r="G278" i="7"/>
  <c r="I278" i="7" s="1"/>
  <c r="G279" i="7"/>
  <c r="I279" i="7"/>
  <c r="G281" i="7"/>
  <c r="I281" i="7" s="1"/>
  <c r="G282" i="7"/>
  <c r="I282" i="7" s="1"/>
  <c r="G284" i="7"/>
  <c r="I284" i="7" s="1"/>
  <c r="G290" i="7"/>
  <c r="I290" i="7" s="1"/>
  <c r="G291" i="7"/>
  <c r="I291" i="7" s="1"/>
  <c r="G292" i="7"/>
  <c r="I292" i="7" s="1"/>
  <c r="G294" i="7"/>
  <c r="I294" i="7" s="1"/>
  <c r="G297" i="7"/>
  <c r="I297" i="7" s="1"/>
  <c r="G299" i="7"/>
  <c r="I299" i="7"/>
  <c r="G300" i="7"/>
  <c r="I300" i="7" s="1"/>
  <c r="G301" i="7"/>
  <c r="I301" i="7" s="1"/>
  <c r="G306" i="7"/>
  <c r="I306" i="7" s="1"/>
  <c r="G307" i="7"/>
  <c r="G309" i="7"/>
  <c r="I309" i="7" s="1"/>
  <c r="G310" i="7"/>
  <c r="I310" i="7" s="1"/>
  <c r="G312" i="7"/>
  <c r="I312" i="7" s="1"/>
  <c r="G313" i="7"/>
  <c r="I313" i="7" s="1"/>
  <c r="G315" i="7"/>
  <c r="I315" i="7" s="1"/>
  <c r="G316" i="7"/>
  <c r="I316" i="7" s="1"/>
  <c r="G317" i="7"/>
  <c r="I317" i="7" s="1"/>
  <c r="G319" i="7"/>
  <c r="I319" i="7"/>
  <c r="G320" i="7"/>
  <c r="I320" i="7" s="1"/>
  <c r="G321" i="7"/>
  <c r="I321" i="7" s="1"/>
  <c r="G323" i="7"/>
  <c r="I323" i="7" s="1"/>
  <c r="G325" i="7"/>
  <c r="I325" i="7" s="1"/>
  <c r="G326" i="7"/>
  <c r="I326" i="7" s="1"/>
  <c r="G327" i="7"/>
  <c r="I327" i="7"/>
  <c r="G328" i="7"/>
  <c r="I328" i="7" s="1"/>
  <c r="G329" i="7"/>
  <c r="I329" i="7" s="1"/>
  <c r="G330" i="7"/>
  <c r="I330" i="7" s="1"/>
  <c r="G331" i="7"/>
  <c r="I331" i="7"/>
  <c r="G332" i="7"/>
  <c r="I332" i="7" s="1"/>
  <c r="G334" i="7"/>
  <c r="I334" i="7" s="1"/>
  <c r="G335" i="7"/>
  <c r="I335" i="7"/>
  <c r="G336" i="7"/>
  <c r="I336" i="7" s="1"/>
  <c r="G337" i="7"/>
  <c r="I337" i="7" s="1"/>
  <c r="G338" i="7"/>
  <c r="I338" i="7" s="1"/>
  <c r="G339" i="7"/>
  <c r="I339" i="7" s="1"/>
  <c r="G340" i="7"/>
  <c r="I340" i="7" s="1"/>
  <c r="G341" i="7"/>
  <c r="I341" i="7" s="1"/>
  <c r="G342" i="7"/>
  <c r="I342" i="7" s="1"/>
  <c r="G343" i="7"/>
  <c r="I343" i="7" s="1"/>
  <c r="G344" i="7"/>
  <c r="I344" i="7" s="1"/>
  <c r="G345" i="7"/>
  <c r="I345" i="7" s="1"/>
  <c r="G346" i="7"/>
  <c r="I346" i="7" s="1"/>
  <c r="G347" i="7"/>
  <c r="I347" i="7" s="1"/>
  <c r="G348" i="7"/>
  <c r="I348" i="7" s="1"/>
  <c r="G349" i="7"/>
  <c r="I349" i="7" s="1"/>
  <c r="G350" i="7"/>
  <c r="I350" i="7" s="1"/>
  <c r="G351" i="7"/>
  <c r="I351" i="7"/>
  <c r="G352" i="7"/>
  <c r="I352" i="7" s="1"/>
  <c r="G353" i="7"/>
  <c r="I353" i="7" s="1"/>
  <c r="G354" i="7"/>
  <c r="I354" i="7" s="1"/>
  <c r="G355" i="7"/>
  <c r="I355" i="7" s="1"/>
  <c r="G356" i="7"/>
  <c r="I356" i="7" s="1"/>
  <c r="G357" i="7"/>
  <c r="I357" i="7" s="1"/>
  <c r="G358" i="7"/>
  <c r="I358" i="7" s="1"/>
  <c r="G359" i="7"/>
  <c r="I359" i="7"/>
  <c r="G360" i="7"/>
  <c r="I360" i="7" s="1"/>
  <c r="G361" i="7"/>
  <c r="I361" i="7" s="1"/>
  <c r="G362" i="7"/>
  <c r="I362" i="7" s="1"/>
  <c r="G363" i="7"/>
  <c r="I363" i="7"/>
  <c r="G364" i="7"/>
  <c r="I364" i="7" s="1"/>
  <c r="G365" i="7"/>
  <c r="I365" i="7" s="1"/>
  <c r="G366" i="7"/>
  <c r="I366" i="7" s="1"/>
  <c r="G367" i="7"/>
  <c r="I367" i="7"/>
  <c r="G368" i="7"/>
  <c r="I368" i="7" s="1"/>
  <c r="G369" i="7"/>
  <c r="I369" i="7" s="1"/>
  <c r="G370" i="7"/>
  <c r="I370" i="7" s="1"/>
  <c r="G371" i="7"/>
  <c r="I371" i="7" s="1"/>
  <c r="G372" i="7"/>
  <c r="I372" i="7" s="1"/>
  <c r="G373" i="7"/>
  <c r="I373" i="7" s="1"/>
  <c r="G374" i="7"/>
  <c r="I374" i="7" s="1"/>
  <c r="G375" i="7"/>
  <c r="I375" i="7" s="1"/>
  <c r="G376" i="7"/>
  <c r="I376" i="7" s="1"/>
  <c r="G377" i="7"/>
  <c r="I377" i="7" s="1"/>
  <c r="G378" i="7"/>
  <c r="I378" i="7" s="1"/>
  <c r="G379" i="7"/>
  <c r="I379" i="7" s="1"/>
  <c r="G380" i="7"/>
  <c r="I380" i="7" s="1"/>
  <c r="G381" i="7"/>
  <c r="I381" i="7" s="1"/>
  <c r="G382" i="7"/>
  <c r="I382" i="7" s="1"/>
  <c r="G383" i="7"/>
  <c r="I383" i="7"/>
  <c r="G384" i="7"/>
  <c r="I384" i="7" s="1"/>
  <c r="G385" i="7"/>
  <c r="I385" i="7" s="1"/>
  <c r="G386" i="7"/>
  <c r="I386" i="7" s="1"/>
  <c r="G387" i="7"/>
  <c r="I387" i="7" s="1"/>
  <c r="G388" i="7"/>
  <c r="I388" i="7" s="1"/>
  <c r="G389" i="7"/>
  <c r="I389" i="7" s="1"/>
  <c r="G390" i="7"/>
  <c r="I390" i="7" s="1"/>
  <c r="G391" i="7"/>
  <c r="I391" i="7"/>
  <c r="G392" i="7"/>
  <c r="I392" i="7" s="1"/>
  <c r="G393" i="7"/>
  <c r="I393" i="7" s="1"/>
  <c r="G394" i="7"/>
  <c r="I394" i="7" s="1"/>
  <c r="G395" i="7"/>
  <c r="I395" i="7"/>
  <c r="G396" i="7"/>
  <c r="I396" i="7" s="1"/>
  <c r="G397" i="7"/>
  <c r="I397" i="7" s="1"/>
  <c r="G398" i="7"/>
  <c r="I398" i="7" s="1"/>
  <c r="G399" i="7"/>
  <c r="I399" i="7" s="1"/>
  <c r="G400" i="7"/>
  <c r="I400" i="7" s="1"/>
  <c r="G401" i="7"/>
  <c r="I401" i="7" s="1"/>
  <c r="G402" i="7"/>
  <c r="I402" i="7" s="1"/>
  <c r="G403" i="7"/>
  <c r="I403" i="7"/>
  <c r="G404" i="7"/>
  <c r="I404" i="7" s="1"/>
  <c r="G405" i="7"/>
  <c r="I405" i="7"/>
  <c r="G406" i="7"/>
  <c r="I406" i="7" s="1"/>
  <c r="G407" i="7"/>
  <c r="I407" i="7"/>
  <c r="G408" i="7"/>
  <c r="I408" i="7" s="1"/>
  <c r="G409" i="7"/>
  <c r="I409" i="7" s="1"/>
  <c r="G410" i="7"/>
  <c r="I410" i="7" s="1"/>
  <c r="G411" i="7"/>
  <c r="I411" i="7"/>
  <c r="G412" i="7"/>
  <c r="I412" i="7" s="1"/>
  <c r="G413" i="7"/>
  <c r="I413" i="7" s="1"/>
  <c r="G414" i="7"/>
  <c r="G415" i="7"/>
  <c r="I415" i="7" s="1"/>
  <c r="G416" i="7"/>
  <c r="I416" i="7" s="1"/>
  <c r="G417" i="7"/>
  <c r="I417" i="7" s="1"/>
  <c r="G418" i="7"/>
  <c r="I418" i="7" s="1"/>
  <c r="G419" i="7"/>
  <c r="I419" i="7"/>
  <c r="G420" i="7"/>
  <c r="I420" i="7" s="1"/>
  <c r="G421" i="7"/>
  <c r="I421" i="7"/>
  <c r="G422" i="7"/>
  <c r="I422" i="7" s="1"/>
  <c r="G423" i="7"/>
  <c r="I423" i="7"/>
  <c r="G424" i="7"/>
  <c r="I424" i="7" s="1"/>
  <c r="G425" i="7"/>
  <c r="I425" i="7" s="1"/>
  <c r="G426" i="7"/>
  <c r="I426" i="7" s="1"/>
  <c r="G427" i="7"/>
  <c r="I427" i="7"/>
  <c r="G428" i="7"/>
  <c r="I428" i="7" s="1"/>
  <c r="G429" i="7"/>
  <c r="I429" i="7" s="1"/>
  <c r="G430" i="7"/>
  <c r="I430" i="7" s="1"/>
  <c r="G431" i="7"/>
  <c r="I431" i="7" s="1"/>
  <c r="G432" i="7"/>
  <c r="I432" i="7"/>
  <c r="G433" i="7"/>
  <c r="I433" i="7"/>
  <c r="G434" i="7"/>
  <c r="I434" i="7" s="1"/>
  <c r="G435" i="7"/>
  <c r="I435" i="7" s="1"/>
  <c r="G436" i="7"/>
  <c r="I436" i="7"/>
  <c r="G437" i="7"/>
  <c r="G438" i="7"/>
  <c r="I438" i="7" s="1"/>
  <c r="G439" i="7"/>
  <c r="I439" i="7"/>
  <c r="G440" i="7"/>
  <c r="I440" i="7" s="1"/>
  <c r="G441" i="7"/>
  <c r="I441" i="7"/>
  <c r="G442" i="7"/>
  <c r="I442" i="7" s="1"/>
  <c r="G443" i="7"/>
  <c r="I443" i="7" s="1"/>
  <c r="G444" i="7"/>
  <c r="I444" i="7" s="1"/>
  <c r="G445" i="7"/>
  <c r="K445" i="7" s="1"/>
  <c r="G446" i="7"/>
  <c r="I446" i="7" s="1"/>
  <c r="G447" i="7"/>
  <c r="I447" i="7"/>
  <c r="G448" i="7"/>
  <c r="I448" i="7"/>
  <c r="G449" i="7"/>
  <c r="I449" i="7"/>
  <c r="G450" i="7"/>
  <c r="I450" i="7" s="1"/>
  <c r="G451" i="7"/>
  <c r="I451" i="7" s="1"/>
  <c r="G452" i="7"/>
  <c r="I452" i="7" s="1"/>
  <c r="G453" i="7"/>
  <c r="G454" i="7"/>
  <c r="I454" i="7" s="1"/>
  <c r="G455" i="7"/>
  <c r="I455" i="7"/>
  <c r="G456" i="7"/>
  <c r="I456" i="7"/>
  <c r="G457" i="7"/>
  <c r="I457" i="7"/>
  <c r="G458" i="7"/>
  <c r="I458" i="7" s="1"/>
  <c r="G459" i="7"/>
  <c r="I459" i="7" s="1"/>
  <c r="G460" i="7"/>
  <c r="I460" i="7" s="1"/>
  <c r="G461" i="7"/>
  <c r="I461" i="7" s="1"/>
  <c r="G462" i="7"/>
  <c r="I462" i="7" s="1"/>
  <c r="G463" i="7"/>
  <c r="I463" i="7"/>
  <c r="G464" i="7"/>
  <c r="I464" i="7"/>
  <c r="G465" i="7"/>
  <c r="I465" i="7"/>
  <c r="G466" i="7"/>
  <c r="I466" i="7" s="1"/>
  <c r="G467" i="7"/>
  <c r="I467" i="7" s="1"/>
  <c r="G468" i="7"/>
  <c r="I468" i="7" s="1"/>
  <c r="G469" i="7"/>
  <c r="G470" i="7"/>
  <c r="I470" i="7" s="1"/>
  <c r="G471" i="7"/>
  <c r="I471" i="7"/>
  <c r="G472" i="7"/>
  <c r="I472" i="7"/>
  <c r="G473" i="7"/>
  <c r="I473" i="7"/>
  <c r="G474" i="7"/>
  <c r="I474" i="7" s="1"/>
  <c r="G475" i="7"/>
  <c r="I475" i="7" s="1"/>
  <c r="G476" i="7"/>
  <c r="I476" i="7" s="1"/>
  <c r="G477" i="7"/>
  <c r="G478" i="7"/>
  <c r="I478" i="7" s="1"/>
  <c r="G479" i="7"/>
  <c r="I479" i="7"/>
  <c r="G480" i="7"/>
  <c r="I480" i="7"/>
  <c r="G481" i="7"/>
  <c r="I481" i="7"/>
  <c r="G482" i="7"/>
  <c r="I482" i="7" s="1"/>
  <c r="G483" i="7"/>
  <c r="G484" i="7"/>
  <c r="G485" i="7"/>
  <c r="G486" i="7"/>
  <c r="I486" i="7" s="1"/>
  <c r="G487" i="7"/>
  <c r="I487" i="7"/>
  <c r="G488" i="7"/>
  <c r="I488" i="7"/>
  <c r="G489" i="7"/>
  <c r="I489" i="7"/>
  <c r="G490" i="7"/>
  <c r="I490" i="7" s="1"/>
  <c r="G491" i="7"/>
  <c r="G492" i="7"/>
  <c r="G493" i="7"/>
  <c r="G494" i="7"/>
  <c r="I494" i="7" s="1"/>
  <c r="G495" i="7"/>
  <c r="I495" i="7"/>
  <c r="G496" i="7"/>
  <c r="I496" i="7" s="1"/>
  <c r="G497" i="7"/>
  <c r="I497" i="7"/>
  <c r="G498" i="7"/>
  <c r="I498" i="7" s="1"/>
  <c r="G499" i="7"/>
  <c r="I499" i="7" s="1"/>
  <c r="G500" i="7"/>
  <c r="I500" i="7"/>
  <c r="G501" i="7"/>
  <c r="G502" i="7"/>
  <c r="G503" i="7"/>
  <c r="I503" i="7"/>
  <c r="G504" i="7"/>
  <c r="I504" i="7"/>
  <c r="G505" i="7"/>
  <c r="I505" i="7"/>
  <c r="G506" i="7"/>
  <c r="I506" i="7" s="1"/>
  <c r="G507" i="7"/>
  <c r="I507" i="7" s="1"/>
  <c r="G508" i="7"/>
  <c r="G509" i="7"/>
  <c r="K509" i="7" s="1"/>
  <c r="I509" i="7"/>
  <c r="G510" i="7"/>
  <c r="I510" i="7" s="1"/>
  <c r="G511" i="7"/>
  <c r="I511" i="7"/>
  <c r="G512" i="7"/>
  <c r="I512" i="7" s="1"/>
  <c r="G513" i="7"/>
  <c r="I513" i="7"/>
  <c r="G514" i="7"/>
  <c r="I514" i="7" s="1"/>
  <c r="G515" i="7"/>
  <c r="I515" i="7" s="1"/>
  <c r="G516" i="7"/>
  <c r="I516" i="7"/>
  <c r="G517" i="7"/>
  <c r="K19" i="7"/>
  <c r="K20" i="7"/>
  <c r="K23" i="7"/>
  <c r="K24" i="7"/>
  <c r="K26" i="7"/>
  <c r="K30" i="7"/>
  <c r="K31" i="7"/>
  <c r="K37" i="7"/>
  <c r="K40" i="7"/>
  <c r="K42" i="7"/>
  <c r="K48" i="7"/>
  <c r="K50" i="7"/>
  <c r="K54" i="7"/>
  <c r="K56" i="7"/>
  <c r="K57" i="7"/>
  <c r="K61" i="7"/>
  <c r="K62" i="7"/>
  <c r="K66" i="7"/>
  <c r="K67" i="7"/>
  <c r="K69" i="7"/>
  <c r="K75" i="7"/>
  <c r="K78" i="7"/>
  <c r="K79" i="7"/>
  <c r="K83" i="7"/>
  <c r="K85" i="7"/>
  <c r="K86" i="7"/>
  <c r="K88" i="7"/>
  <c r="K89" i="7"/>
  <c r="K93" i="7"/>
  <c r="K94" i="7"/>
  <c r="K96" i="7"/>
  <c r="K103" i="7"/>
  <c r="K106" i="7"/>
  <c r="K108" i="7"/>
  <c r="K109" i="7"/>
  <c r="K111" i="7"/>
  <c r="K115" i="7"/>
  <c r="K120" i="7"/>
  <c r="K126" i="7"/>
  <c r="K133" i="7"/>
  <c r="K134" i="7"/>
  <c r="K137" i="7"/>
  <c r="K139" i="7"/>
  <c r="K140" i="7"/>
  <c r="K142" i="7"/>
  <c r="K146" i="7"/>
  <c r="K147" i="7"/>
  <c r="K150" i="7"/>
  <c r="K152" i="7"/>
  <c r="K155" i="7"/>
  <c r="K160" i="7"/>
  <c r="K165" i="7"/>
  <c r="K166" i="7"/>
  <c r="K171" i="7"/>
  <c r="K173" i="7"/>
  <c r="K174" i="7"/>
  <c r="K177" i="7"/>
  <c r="K179" i="7"/>
  <c r="K182" i="7"/>
  <c r="K185" i="7"/>
  <c r="K188" i="7"/>
  <c r="K192" i="7"/>
  <c r="K196" i="7"/>
  <c r="K198" i="7"/>
  <c r="K208" i="7"/>
  <c r="K210" i="7"/>
  <c r="K211" i="7"/>
  <c r="K216" i="7"/>
  <c r="K217" i="7"/>
  <c r="K225" i="7"/>
  <c r="K227" i="7"/>
  <c r="K240" i="7"/>
  <c r="K242" i="7"/>
  <c r="K243" i="7"/>
  <c r="K244" i="7"/>
  <c r="K248" i="7"/>
  <c r="K252" i="7"/>
  <c r="K253" i="7"/>
  <c r="K254" i="7"/>
  <c r="K256" i="7"/>
  <c r="K266" i="7"/>
  <c r="K267" i="7"/>
  <c r="K269" i="7"/>
  <c r="K272" i="7"/>
  <c r="K275" i="7"/>
  <c r="K278" i="7"/>
  <c r="K279" i="7"/>
  <c r="K281" i="7"/>
  <c r="K282" i="7"/>
  <c r="K284" i="7"/>
  <c r="K290" i="7"/>
  <c r="K291" i="7"/>
  <c r="K292" i="7"/>
  <c r="K294" i="7"/>
  <c r="K297" i="7"/>
  <c r="K298" i="7"/>
  <c r="K299" i="7"/>
  <c r="K300" i="7"/>
  <c r="K301" i="7"/>
  <c r="K306" i="7"/>
  <c r="K309" i="7"/>
  <c r="K310" i="7"/>
  <c r="K312" i="7"/>
  <c r="K313" i="7"/>
  <c r="K315" i="7"/>
  <c r="K316" i="7"/>
  <c r="K317" i="7"/>
  <c r="K319" i="7"/>
  <c r="K320" i="7"/>
  <c r="K321" i="7"/>
  <c r="K323" i="7"/>
  <c r="K325" i="7"/>
  <c r="K326" i="7"/>
  <c r="K327" i="7"/>
  <c r="K328" i="7"/>
  <c r="K329" i="7"/>
  <c r="K330" i="7"/>
  <c r="K331" i="7"/>
  <c r="K332"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1" i="7"/>
  <c r="K392" i="7"/>
  <c r="K393" i="7"/>
  <c r="K394" i="7"/>
  <c r="K395" i="7"/>
  <c r="K396" i="7"/>
  <c r="K397" i="7"/>
  <c r="K398" i="7"/>
  <c r="K399" i="7"/>
  <c r="K400" i="7"/>
  <c r="K401" i="7"/>
  <c r="K402" i="7"/>
  <c r="K403" i="7"/>
  <c r="K404" i="7"/>
  <c r="K405" i="7"/>
  <c r="K407" i="7"/>
  <c r="K408" i="7"/>
  <c r="K409" i="7"/>
  <c r="K410" i="7"/>
  <c r="K411" i="7"/>
  <c r="K412" i="7"/>
  <c r="K413" i="7"/>
  <c r="K415" i="7"/>
  <c r="K416" i="7"/>
  <c r="K417" i="7"/>
  <c r="K418" i="7"/>
  <c r="K419" i="7"/>
  <c r="K420" i="7"/>
  <c r="K421" i="7"/>
  <c r="K423" i="7"/>
  <c r="K424" i="7"/>
  <c r="K426" i="7"/>
  <c r="K427" i="7"/>
  <c r="K428" i="7"/>
  <c r="K429" i="7"/>
  <c r="K430" i="7"/>
  <c r="K431" i="7"/>
  <c r="K432" i="7"/>
  <c r="K433" i="7"/>
  <c r="K434" i="7"/>
  <c r="K435" i="7"/>
  <c r="K436" i="7"/>
  <c r="K438" i="7"/>
  <c r="K439" i="7"/>
  <c r="K440" i="7"/>
  <c r="K441" i="7"/>
  <c r="K442" i="7"/>
  <c r="K443" i="7"/>
  <c r="K444" i="7"/>
  <c r="K446" i="7"/>
  <c r="K447" i="7"/>
  <c r="K448" i="7"/>
  <c r="K449" i="7"/>
  <c r="K450" i="7"/>
  <c r="K451" i="7"/>
  <c r="K452" i="7"/>
  <c r="K454" i="7"/>
  <c r="K455" i="7"/>
  <c r="K456" i="7"/>
  <c r="K457" i="7"/>
  <c r="K458" i="7"/>
  <c r="K459" i="7"/>
  <c r="K460" i="7"/>
  <c r="K461" i="7"/>
  <c r="K462" i="7"/>
  <c r="K463" i="7"/>
  <c r="K464" i="7"/>
  <c r="K465" i="7"/>
  <c r="K466" i="7"/>
  <c r="K467" i="7"/>
  <c r="K468" i="7"/>
  <c r="K470" i="7"/>
  <c r="K471" i="7"/>
  <c r="K472" i="7"/>
  <c r="K473" i="7"/>
  <c r="K474" i="7"/>
  <c r="K475" i="7"/>
  <c r="K476" i="7"/>
  <c r="K478" i="7"/>
  <c r="K479" i="7"/>
  <c r="K480" i="7"/>
  <c r="K481" i="7"/>
  <c r="K482" i="7"/>
  <c r="K486" i="7"/>
  <c r="K487" i="7"/>
  <c r="K488" i="7"/>
  <c r="K489" i="7"/>
  <c r="K490" i="7"/>
  <c r="K494" i="7"/>
  <c r="K495" i="7"/>
  <c r="K497" i="7"/>
  <c r="K498" i="7"/>
  <c r="K499" i="7"/>
  <c r="K500" i="7"/>
  <c r="K503" i="7"/>
  <c r="K504" i="7"/>
  <c r="K505" i="7"/>
  <c r="K506" i="7"/>
  <c r="K507" i="7"/>
  <c r="K510" i="7"/>
  <c r="K511" i="7"/>
  <c r="K512" i="7"/>
  <c r="K513" i="7"/>
  <c r="K514" i="7"/>
  <c r="K515" i="7"/>
  <c r="K516" i="7"/>
  <c r="B523" i="7"/>
  <c r="B526" i="7"/>
  <c r="B528" i="7"/>
  <c r="N7" i="8"/>
  <c r="N8" i="8"/>
  <c r="N9" i="8"/>
  <c r="N10" i="8"/>
  <c r="N12" i="8" s="1"/>
  <c r="N11" i="8"/>
  <c r="C12" i="8"/>
  <c r="D12" i="8"/>
  <c r="E12" i="8"/>
  <c r="F12" i="8"/>
  <c r="G12" i="8"/>
  <c r="H12" i="8"/>
  <c r="I12" i="8"/>
  <c r="J12" i="8"/>
  <c r="K12" i="8"/>
  <c r="L12" i="8"/>
  <c r="M12" i="8"/>
  <c r="A1" i="4"/>
  <c r="A1" i="7" s="1"/>
  <c r="B522" i="7" s="1"/>
  <c r="D12" i="4"/>
  <c r="B20" i="4"/>
  <c r="D37" i="4"/>
  <c r="J48" i="6" s="1"/>
  <c r="E37" i="4"/>
  <c r="E63" i="4" s="1"/>
  <c r="D38" i="4"/>
  <c r="E38" i="4"/>
  <c r="E64" i="4" s="1"/>
  <c r="E39" i="4"/>
  <c r="E65" i="4" s="1"/>
  <c r="E40" i="4"/>
  <c r="E41" i="4"/>
  <c r="E67" i="4" s="1"/>
  <c r="B47" i="4"/>
  <c r="B48" i="4"/>
  <c r="D64" i="4"/>
  <c r="D65" i="4" s="1"/>
  <c r="E66" i="4"/>
  <c r="B73" i="4"/>
  <c r="B74" i="4"/>
  <c r="D87" i="4"/>
  <c r="D165" i="4" s="1"/>
  <c r="D89" i="4"/>
  <c r="B98" i="4"/>
  <c r="B176" i="4" s="1"/>
  <c r="B100" i="4"/>
  <c r="D113" i="4"/>
  <c r="D191" i="4" s="1"/>
  <c r="D115" i="4"/>
  <c r="E115" i="4"/>
  <c r="E141" i="4" s="1"/>
  <c r="E116" i="4"/>
  <c r="E142" i="4" s="1"/>
  <c r="E117" i="4"/>
  <c r="E118" i="4"/>
  <c r="E144" i="4" s="1"/>
  <c r="E119" i="4"/>
  <c r="B124" i="4"/>
  <c r="B125" i="4"/>
  <c r="B126" i="4"/>
  <c r="D139" i="4"/>
  <c r="D141" i="4"/>
  <c r="D219" i="4" s="1"/>
  <c r="D142" i="4"/>
  <c r="E143" i="4"/>
  <c r="E145" i="4"/>
  <c r="B150" i="4"/>
  <c r="B151" i="4"/>
  <c r="B152" i="4"/>
  <c r="D167" i="4"/>
  <c r="E167" i="4"/>
  <c r="E168" i="4"/>
  <c r="E169" i="4"/>
  <c r="E195" i="4" s="1"/>
  <c r="E221" i="4" s="1"/>
  <c r="E170" i="4"/>
  <c r="E171" i="4"/>
  <c r="E197" i="4" s="1"/>
  <c r="B178" i="4"/>
  <c r="D193" i="4"/>
  <c r="E193" i="4"/>
  <c r="E219" i="4" s="1"/>
  <c r="E194" i="4"/>
  <c r="E196" i="4"/>
  <c r="B202" i="4"/>
  <c r="B203" i="4"/>
  <c r="B204" i="4"/>
  <c r="D217" i="4"/>
  <c r="D220" i="4"/>
  <c r="E220" i="4"/>
  <c r="E222" i="4"/>
  <c r="E223" i="4"/>
  <c r="B228" i="4"/>
  <c r="B229" i="4"/>
  <c r="B230" i="4"/>
  <c r="E7" i="3"/>
  <c r="K7" i="3" s="1"/>
  <c r="J7" i="3"/>
  <c r="F7" i="3"/>
  <c r="F26" i="13" s="1"/>
  <c r="E8" i="3"/>
  <c r="M8" i="3" s="1"/>
  <c r="J8" i="3"/>
  <c r="F8" i="3"/>
  <c r="F27" i="13" s="1"/>
  <c r="K8" i="3"/>
  <c r="E9" i="3"/>
  <c r="J9" i="3"/>
  <c r="E10" i="3"/>
  <c r="J10" i="3"/>
  <c r="E11" i="3"/>
  <c r="M11" i="3" s="1"/>
  <c r="J11" i="3"/>
  <c r="F11" i="3"/>
  <c r="F30" i="13" s="1"/>
  <c r="K11" i="3"/>
  <c r="L11" i="3"/>
  <c r="A18" i="3"/>
  <c r="A19" i="3"/>
  <c r="G35" i="3"/>
  <c r="H35" i="3"/>
  <c r="I35" i="3"/>
  <c r="J35" i="3"/>
  <c r="K35" i="3"/>
  <c r="L35" i="3"/>
  <c r="M35" i="3"/>
  <c r="E37" i="3"/>
  <c r="F37" i="3" s="1"/>
  <c r="G37" i="3"/>
  <c r="H37" i="3"/>
  <c r="I37" i="3"/>
  <c r="J37" i="3"/>
  <c r="M37" i="3"/>
  <c r="E38" i="3"/>
  <c r="G38" i="3"/>
  <c r="H38" i="3"/>
  <c r="J38" i="3" s="1"/>
  <c r="I38" i="3"/>
  <c r="I68" i="3" s="1"/>
  <c r="E39" i="3"/>
  <c r="G39" i="3"/>
  <c r="H39" i="3"/>
  <c r="H69" i="3" s="1"/>
  <c r="I39" i="3"/>
  <c r="I69" i="3" s="1"/>
  <c r="E40" i="3"/>
  <c r="G40" i="3"/>
  <c r="G70" i="3" s="1"/>
  <c r="H40" i="3"/>
  <c r="H70" i="3" s="1"/>
  <c r="I40" i="3"/>
  <c r="I70" i="3" s="1"/>
  <c r="J40" i="3"/>
  <c r="E41" i="3"/>
  <c r="G41" i="3"/>
  <c r="G71" i="3" s="1"/>
  <c r="K71" i="3" s="1"/>
  <c r="H41" i="3"/>
  <c r="H71" i="3" s="1"/>
  <c r="I41" i="3"/>
  <c r="I71" i="3" s="1"/>
  <c r="A48" i="3"/>
  <c r="A49" i="3"/>
  <c r="A50" i="3"/>
  <c r="A51" i="3"/>
  <c r="A52" i="3"/>
  <c r="A53" i="3"/>
  <c r="A54" i="3"/>
  <c r="A55" i="3"/>
  <c r="A56" i="3"/>
  <c r="A57" i="3"/>
  <c r="A58" i="3"/>
  <c r="G65" i="3"/>
  <c r="H65" i="3"/>
  <c r="I65" i="3"/>
  <c r="J65" i="3"/>
  <c r="K65" i="3"/>
  <c r="L65" i="3"/>
  <c r="M65" i="3"/>
  <c r="E67" i="3"/>
  <c r="G67" i="3"/>
  <c r="H67" i="3"/>
  <c r="I67" i="3"/>
  <c r="K67" i="3" s="1"/>
  <c r="J67" i="3"/>
  <c r="M67" i="3"/>
  <c r="E68" i="3"/>
  <c r="G68" i="3"/>
  <c r="E69" i="3"/>
  <c r="E70" i="3"/>
  <c r="E71" i="3"/>
  <c r="M71" i="3"/>
  <c r="A78" i="3"/>
  <c r="A79" i="3"/>
  <c r="A80" i="3"/>
  <c r="A81" i="3"/>
  <c r="A82" i="3"/>
  <c r="A83" i="3"/>
  <c r="A84" i="3"/>
  <c r="A85" i="3"/>
  <c r="A86" i="3"/>
  <c r="A87" i="3"/>
  <c r="A88" i="3"/>
  <c r="C28" i="1"/>
  <c r="E28" i="1"/>
  <c r="L18" i="1"/>
  <c r="M19" i="1"/>
  <c r="L20" i="1"/>
  <c r="N28" i="18" l="1"/>
  <c r="N32" i="18" s="1"/>
  <c r="N34" i="18" s="1"/>
  <c r="L25" i="18"/>
  <c r="L32" i="18" s="1"/>
  <c r="J70" i="3"/>
  <c r="K70" i="3"/>
  <c r="F38" i="3"/>
  <c r="L38" i="3" s="1"/>
  <c r="D143" i="4"/>
  <c r="D221" i="4" s="1"/>
  <c r="D66" i="4"/>
  <c r="M70" i="3"/>
  <c r="L7" i="3"/>
  <c r="L67" i="3"/>
  <c r="J71" i="3"/>
  <c r="L37" i="3"/>
  <c r="K9" i="3"/>
  <c r="F9" i="3"/>
  <c r="M9" i="3"/>
  <c r="I492" i="7"/>
  <c r="K492" i="7"/>
  <c r="I304" i="7"/>
  <c r="K304" i="7"/>
  <c r="M39" i="3"/>
  <c r="I508" i="7"/>
  <c r="K508" i="7"/>
  <c r="I483" i="7"/>
  <c r="K483" i="7"/>
  <c r="I484" i="7"/>
  <c r="K484" i="7"/>
  <c r="I437" i="7"/>
  <c r="K437" i="7"/>
  <c r="M40" i="3"/>
  <c r="D116" i="4"/>
  <c r="D194" i="4" s="1"/>
  <c r="D39" i="4"/>
  <c r="I307" i="7"/>
  <c r="K307" i="7"/>
  <c r="K39" i="3"/>
  <c r="K517" i="7"/>
  <c r="I517" i="7"/>
  <c r="H68" i="3"/>
  <c r="K41" i="3"/>
  <c r="M41" i="3"/>
  <c r="K38" i="3"/>
  <c r="G69" i="3"/>
  <c r="K40" i="3"/>
  <c r="K37" i="3"/>
  <c r="M7" i="3"/>
  <c r="M10" i="3"/>
  <c r="F10" i="3"/>
  <c r="K425" i="7"/>
  <c r="I501" i="7"/>
  <c r="K501" i="7"/>
  <c r="J68" i="3"/>
  <c r="F40" i="3"/>
  <c r="L40" i="3" s="1"/>
  <c r="J39" i="3"/>
  <c r="D90" i="4"/>
  <c r="D168" i="4" s="1"/>
  <c r="D13" i="4"/>
  <c r="K496" i="7"/>
  <c r="I333" i="7"/>
  <c r="K333" i="7"/>
  <c r="I285" i="7"/>
  <c r="K285" i="7"/>
  <c r="I302" i="7"/>
  <c r="K302" i="7"/>
  <c r="J41" i="3"/>
  <c r="M38" i="3"/>
  <c r="M44" i="3" s="1"/>
  <c r="E14" i="1" s="1"/>
  <c r="K10" i="3"/>
  <c r="L8" i="3"/>
  <c r="K318" i="7"/>
  <c r="I491" i="7"/>
  <c r="K491" i="7"/>
  <c r="I502" i="7"/>
  <c r="K502" i="7"/>
  <c r="F67" i="3"/>
  <c r="K205" i="7"/>
  <c r="I264" i="7"/>
  <c r="K264" i="7"/>
  <c r="I414" i="7"/>
  <c r="K414" i="7"/>
  <c r="K477" i="7"/>
  <c r="I477" i="7"/>
  <c r="K48" i="6"/>
  <c r="L48" i="6" s="1"/>
  <c r="K422" i="7"/>
  <c r="K406" i="7"/>
  <c r="K390" i="7"/>
  <c r="K190" i="7"/>
  <c r="K493" i="7"/>
  <c r="I493" i="7"/>
  <c r="K453" i="7"/>
  <c r="I453" i="7"/>
  <c r="I232" i="7"/>
  <c r="K232" i="7"/>
  <c r="I469" i="7"/>
  <c r="K469" i="7"/>
  <c r="I222" i="7"/>
  <c r="K222" i="7"/>
  <c r="I223" i="7"/>
  <c r="K223" i="7"/>
  <c r="K485" i="7"/>
  <c r="I485" i="7"/>
  <c r="I445" i="7"/>
  <c r="G293" i="7"/>
  <c r="G287" i="7"/>
  <c r="G280" i="7"/>
  <c r="G273" i="7"/>
  <c r="G259" i="7"/>
  <c r="G191" i="7"/>
  <c r="G158" i="7"/>
  <c r="G128" i="7"/>
  <c r="G43" i="7"/>
  <c r="G324" i="7"/>
  <c r="G305" i="7"/>
  <c r="G286" i="7"/>
  <c r="G265" i="7"/>
  <c r="G257" i="7"/>
  <c r="G251" i="7"/>
  <c r="G231" i="7"/>
  <c r="G204" i="7"/>
  <c r="G141" i="7"/>
  <c r="G107" i="7"/>
  <c r="D32" i="11"/>
  <c r="G311" i="7"/>
  <c r="I271" i="7"/>
  <c r="I239" i="7"/>
  <c r="G228" i="7"/>
  <c r="G203" i="7"/>
  <c r="I15" i="7"/>
  <c r="K15" i="7"/>
  <c r="G270" i="7"/>
  <c r="G262" i="7"/>
  <c r="G246" i="7"/>
  <c r="G238" i="7"/>
  <c r="G230" i="7"/>
  <c r="G214" i="7"/>
  <c r="G206" i="7"/>
  <c r="G118" i="7"/>
  <c r="G110" i="7"/>
  <c r="G70" i="7"/>
  <c r="G46" i="7"/>
  <c r="G38" i="7"/>
  <c r="G16" i="7"/>
  <c r="G17" i="7"/>
  <c r="G21" i="7"/>
  <c r="G18" i="7"/>
  <c r="G32" i="7"/>
  <c r="G45" i="7"/>
  <c r="G51" i="7"/>
  <c r="G64" i="7"/>
  <c r="G77" i="7"/>
  <c r="G33" i="7"/>
  <c r="G39" i="7"/>
  <c r="G52" i="7"/>
  <c r="G58" i="7"/>
  <c r="G65" i="7"/>
  <c r="G71" i="7"/>
  <c r="G84" i="7"/>
  <c r="G90" i="7"/>
  <c r="G97" i="7"/>
  <c r="G116" i="7"/>
  <c r="G122" i="7"/>
  <c r="G129" i="7"/>
  <c r="G135" i="7"/>
  <c r="G148" i="7"/>
  <c r="G154" i="7"/>
  <c r="G161" i="7"/>
  <c r="G167" i="7"/>
  <c r="G180" i="7"/>
  <c r="G186" i="7"/>
  <c r="G193" i="7"/>
  <c r="G199" i="7"/>
  <c r="G212" i="7"/>
  <c r="G218" i="7"/>
  <c r="G27" i="7"/>
  <c r="G53" i="7"/>
  <c r="G59" i="7"/>
  <c r="G72" i="7"/>
  <c r="G91" i="7"/>
  <c r="G104" i="7"/>
  <c r="G117" i="7"/>
  <c r="G123" i="7"/>
  <c r="G136" i="7"/>
  <c r="G149" i="7"/>
  <c r="G168" i="7"/>
  <c r="G181" i="7"/>
  <c r="G187" i="7"/>
  <c r="G200" i="7"/>
  <c r="G213" i="7"/>
  <c r="G219" i="7"/>
  <c r="G224" i="7"/>
  <c r="G229" i="7"/>
  <c r="G233" i="7"/>
  <c r="G237" i="7"/>
  <c r="G241" i="7"/>
  <c r="G245" i="7"/>
  <c r="G249" i="7"/>
  <c r="G28" i="7"/>
  <c r="G34" i="7"/>
  <c r="G41" i="7"/>
  <c r="G47" i="7"/>
  <c r="G60" i="7"/>
  <c r="G73" i="7"/>
  <c r="G92" i="7"/>
  <c r="G98" i="7"/>
  <c r="G105" i="7"/>
  <c r="G124" i="7"/>
  <c r="G130" i="7"/>
  <c r="G143" i="7"/>
  <c r="G156" i="7"/>
  <c r="G162" i="7"/>
  <c r="G169" i="7"/>
  <c r="G175" i="7"/>
  <c r="G194" i="7"/>
  <c r="G201" i="7"/>
  <c r="G207" i="7"/>
  <c r="G22" i="7"/>
  <c r="G29" i="7"/>
  <c r="G35" i="7"/>
  <c r="G80" i="7"/>
  <c r="G99" i="7"/>
  <c r="G112" i="7"/>
  <c r="G125" i="7"/>
  <c r="G131" i="7"/>
  <c r="G144" i="7"/>
  <c r="G157" i="7"/>
  <c r="G163" i="7"/>
  <c r="G176" i="7"/>
  <c r="G189" i="7"/>
  <c r="G195" i="7"/>
  <c r="G220" i="7"/>
  <c r="G234" i="7"/>
  <c r="G250" i="7"/>
  <c r="G258" i="7"/>
  <c r="G274" i="7"/>
  <c r="G36" i="7"/>
  <c r="G49" i="7"/>
  <c r="G55" i="7"/>
  <c r="G68" i="7"/>
  <c r="G74" i="7"/>
  <c r="G81" i="7"/>
  <c r="G87" i="7"/>
  <c r="G100" i="7"/>
  <c r="G113" i="7"/>
  <c r="G119" i="7"/>
  <c r="G132" i="7"/>
  <c r="G138" i="7"/>
  <c r="G145" i="7"/>
  <c r="G151" i="7"/>
  <c r="G164" i="7"/>
  <c r="G170" i="7"/>
  <c r="G183" i="7"/>
  <c r="G202" i="7"/>
  <c r="G209" i="7"/>
  <c r="G215" i="7"/>
  <c r="G221" i="7"/>
  <c r="G226" i="7"/>
  <c r="G25" i="7"/>
  <c r="G44" i="7"/>
  <c r="G63" i="7"/>
  <c r="G76" i="7"/>
  <c r="G82" i="7"/>
  <c r="G95" i="7"/>
  <c r="G114" i="7"/>
  <c r="G121" i="7"/>
  <c r="G127" i="7"/>
  <c r="G153" i="7"/>
  <c r="G159" i="7"/>
  <c r="G172" i="7"/>
  <c r="G178" i="7"/>
  <c r="G322" i="7"/>
  <c r="G303" i="7"/>
  <c r="G296" i="7"/>
  <c r="G277" i="7"/>
  <c r="G263" i="7"/>
  <c r="G255" i="7"/>
  <c r="G247" i="7"/>
  <c r="G236" i="7"/>
  <c r="G102" i="7"/>
  <c r="G308" i="7"/>
  <c r="G289" i="7"/>
  <c r="G283" i="7"/>
  <c r="G276" i="7"/>
  <c r="G268" i="7"/>
  <c r="G261" i="7"/>
  <c r="G197" i="7"/>
  <c r="G184" i="7"/>
  <c r="G101" i="7"/>
  <c r="G314" i="7"/>
  <c r="G295" i="7"/>
  <c r="G288" i="7"/>
  <c r="G260" i="7"/>
  <c r="G235" i="7"/>
  <c r="E35" i="17"/>
  <c r="E180" i="6"/>
  <c r="J34" i="10"/>
  <c r="D31" i="11" s="1"/>
  <c r="L30" i="13"/>
  <c r="F25" i="9"/>
  <c r="F47" i="9"/>
  <c r="I24" i="10"/>
  <c r="J24" i="10" s="1"/>
  <c r="L27" i="13"/>
  <c r="K7" i="13"/>
  <c r="J7" i="13"/>
  <c r="H10" i="13"/>
  <c r="K11" i="13" s="1"/>
  <c r="A16" i="13" s="1"/>
  <c r="L41" i="12"/>
  <c r="L40" i="12"/>
  <c r="L43" i="12" s="1"/>
  <c r="L26" i="13"/>
  <c r="E181" i="6"/>
  <c r="J8" i="13"/>
  <c r="G8" i="13" s="1"/>
  <c r="D29" i="11" l="1"/>
  <c r="D35" i="11" s="1"/>
  <c r="J44" i="10"/>
  <c r="J45" i="10" s="1"/>
  <c r="D28" i="1"/>
  <c r="L50" i="6"/>
  <c r="I283" i="7"/>
  <c r="K283" i="7"/>
  <c r="I151" i="7"/>
  <c r="K151" i="7"/>
  <c r="I47" i="7"/>
  <c r="K47" i="7"/>
  <c r="I116" i="7"/>
  <c r="K116" i="7"/>
  <c r="I101" i="7"/>
  <c r="K101" i="7"/>
  <c r="I308" i="7"/>
  <c r="K308" i="7"/>
  <c r="I303" i="7"/>
  <c r="K303" i="7"/>
  <c r="I114" i="7"/>
  <c r="K114" i="7"/>
  <c r="I221" i="7"/>
  <c r="K221" i="7"/>
  <c r="I145" i="7"/>
  <c r="K145" i="7"/>
  <c r="I74" i="7"/>
  <c r="K74" i="7"/>
  <c r="I234" i="7"/>
  <c r="K234" i="7"/>
  <c r="I131" i="7"/>
  <c r="K131" i="7"/>
  <c r="I207" i="7"/>
  <c r="K207" i="7"/>
  <c r="I130" i="7"/>
  <c r="K130" i="7"/>
  <c r="I41" i="7"/>
  <c r="K41" i="7"/>
  <c r="I229" i="7"/>
  <c r="K229" i="7"/>
  <c r="I149" i="7"/>
  <c r="K149" i="7"/>
  <c r="I53" i="7"/>
  <c r="K53" i="7"/>
  <c r="I167" i="7"/>
  <c r="K167" i="7"/>
  <c r="I97" i="7"/>
  <c r="K97" i="7"/>
  <c r="I33" i="7"/>
  <c r="K33" i="7"/>
  <c r="I17" i="7"/>
  <c r="K17" i="7"/>
  <c r="I214" i="7"/>
  <c r="K214" i="7"/>
  <c r="I203" i="7"/>
  <c r="K203" i="7"/>
  <c r="I141" i="7"/>
  <c r="K141" i="7"/>
  <c r="I324" i="7"/>
  <c r="K324" i="7"/>
  <c r="I287" i="7"/>
  <c r="K287" i="7"/>
  <c r="L41" i="3"/>
  <c r="F41" i="3"/>
  <c r="D91" i="4"/>
  <c r="D169" i="4" s="1"/>
  <c r="D14" i="4"/>
  <c r="G27" i="13"/>
  <c r="M27" i="13" s="1"/>
  <c r="I314" i="7"/>
  <c r="K314" i="7"/>
  <c r="I81" i="7"/>
  <c r="K81" i="7"/>
  <c r="I233" i="7"/>
  <c r="K233" i="7"/>
  <c r="I184" i="7"/>
  <c r="K184" i="7"/>
  <c r="I215" i="7"/>
  <c r="K215" i="7"/>
  <c r="I68" i="7"/>
  <c r="K68" i="7"/>
  <c r="I125" i="7"/>
  <c r="K125" i="7"/>
  <c r="I201" i="7"/>
  <c r="K201" i="7"/>
  <c r="I124" i="7"/>
  <c r="K124" i="7"/>
  <c r="I34" i="7"/>
  <c r="K34" i="7"/>
  <c r="I224" i="7"/>
  <c r="K224" i="7"/>
  <c r="I136" i="7"/>
  <c r="K136" i="7"/>
  <c r="I27" i="7"/>
  <c r="K27" i="7"/>
  <c r="I161" i="7"/>
  <c r="K161" i="7"/>
  <c r="I90" i="7"/>
  <c r="K90" i="7"/>
  <c r="I77" i="7"/>
  <c r="K77" i="7"/>
  <c r="I16" i="7"/>
  <c r="K16" i="7"/>
  <c r="I230" i="7"/>
  <c r="K230" i="7"/>
  <c r="I228" i="7"/>
  <c r="K228" i="7"/>
  <c r="I204" i="7"/>
  <c r="K204" i="7"/>
  <c r="I43" i="7"/>
  <c r="K43" i="7"/>
  <c r="I293" i="7"/>
  <c r="K293" i="7"/>
  <c r="F29" i="13"/>
  <c r="L10" i="3"/>
  <c r="D40" i="4"/>
  <c r="D117" i="4"/>
  <c r="D195" i="4" s="1"/>
  <c r="I289" i="7"/>
  <c r="K289" i="7"/>
  <c r="I250" i="7"/>
  <c r="K250" i="7"/>
  <c r="I168" i="7"/>
  <c r="K168" i="7"/>
  <c r="I102" i="7"/>
  <c r="K102" i="7"/>
  <c r="I138" i="7"/>
  <c r="K138" i="7"/>
  <c r="I220" i="7"/>
  <c r="K220" i="7"/>
  <c r="I197" i="7"/>
  <c r="K197" i="7"/>
  <c r="I236" i="7"/>
  <c r="K236" i="7"/>
  <c r="I178" i="7"/>
  <c r="K178" i="7"/>
  <c r="I82" i="7"/>
  <c r="K82" i="7"/>
  <c r="I209" i="7"/>
  <c r="K209" i="7"/>
  <c r="I132" i="7"/>
  <c r="K132" i="7"/>
  <c r="I55" i="7"/>
  <c r="K55" i="7"/>
  <c r="I195" i="7"/>
  <c r="K195" i="7"/>
  <c r="I112" i="7"/>
  <c r="K112" i="7"/>
  <c r="I194" i="7"/>
  <c r="K194" i="7"/>
  <c r="I105" i="7"/>
  <c r="K105" i="7"/>
  <c r="I28" i="7"/>
  <c r="K28" i="7"/>
  <c r="I219" i="7"/>
  <c r="K219" i="7"/>
  <c r="I123" i="7"/>
  <c r="K123" i="7"/>
  <c r="I218" i="7"/>
  <c r="K218" i="7"/>
  <c r="I154" i="7"/>
  <c r="K154" i="7"/>
  <c r="I84" i="7"/>
  <c r="K84" i="7"/>
  <c r="I64" i="7"/>
  <c r="K64" i="7"/>
  <c r="I38" i="7"/>
  <c r="K38" i="7"/>
  <c r="I238" i="7"/>
  <c r="K238" i="7"/>
  <c r="K231" i="7"/>
  <c r="I231" i="7"/>
  <c r="I128" i="7"/>
  <c r="K128" i="7"/>
  <c r="F39" i="3"/>
  <c r="L39" i="3" s="1"/>
  <c r="L70" i="3"/>
  <c r="F70" i="3"/>
  <c r="I295" i="7"/>
  <c r="K295" i="7"/>
  <c r="I226" i="7"/>
  <c r="K226" i="7"/>
  <c r="I143" i="7"/>
  <c r="K143" i="7"/>
  <c r="I180" i="7"/>
  <c r="K180" i="7"/>
  <c r="I95" i="7"/>
  <c r="K95" i="7"/>
  <c r="I235" i="7"/>
  <c r="K235" i="7"/>
  <c r="I261" i="7"/>
  <c r="K261" i="7"/>
  <c r="K247" i="7"/>
  <c r="I247" i="7"/>
  <c r="I172" i="7"/>
  <c r="K172" i="7"/>
  <c r="I76" i="7"/>
  <c r="K76" i="7"/>
  <c r="I202" i="7"/>
  <c r="K202" i="7"/>
  <c r="I119" i="7"/>
  <c r="K119" i="7"/>
  <c r="I49" i="7"/>
  <c r="K49" i="7"/>
  <c r="I189" i="7"/>
  <c r="K189" i="7"/>
  <c r="I99" i="7"/>
  <c r="K99" i="7"/>
  <c r="I175" i="7"/>
  <c r="K175" i="7"/>
  <c r="I98" i="7"/>
  <c r="K98" i="7"/>
  <c r="I249" i="7"/>
  <c r="K249" i="7"/>
  <c r="I213" i="7"/>
  <c r="K213" i="7"/>
  <c r="I117" i="7"/>
  <c r="K117" i="7"/>
  <c r="I212" i="7"/>
  <c r="K212" i="7"/>
  <c r="I148" i="7"/>
  <c r="K148" i="7"/>
  <c r="I71" i="7"/>
  <c r="K71" i="7"/>
  <c r="I51" i="7"/>
  <c r="K51" i="7"/>
  <c r="I46" i="7"/>
  <c r="K46" i="7"/>
  <c r="I246" i="7"/>
  <c r="K246" i="7"/>
  <c r="I251" i="7"/>
  <c r="K251" i="7"/>
  <c r="I158" i="7"/>
  <c r="K158" i="7"/>
  <c r="M13" i="3"/>
  <c r="E8" i="1" s="1"/>
  <c r="M14" i="3"/>
  <c r="E13" i="1" s="1"/>
  <c r="K68" i="3"/>
  <c r="M68" i="3"/>
  <c r="F28" i="13"/>
  <c r="L9" i="3"/>
  <c r="L14" i="3" s="1"/>
  <c r="D13" i="1" s="1"/>
  <c r="I121" i="7"/>
  <c r="K121" i="7"/>
  <c r="I22" i="7"/>
  <c r="K22" i="7"/>
  <c r="I59" i="7"/>
  <c r="K59" i="7"/>
  <c r="I322" i="7"/>
  <c r="K322" i="7"/>
  <c r="I260" i="7"/>
  <c r="K260" i="7"/>
  <c r="I268" i="7"/>
  <c r="K268" i="7"/>
  <c r="K255" i="7"/>
  <c r="I255" i="7"/>
  <c r="I159" i="7"/>
  <c r="K159" i="7"/>
  <c r="I63" i="7"/>
  <c r="K63" i="7"/>
  <c r="I183" i="7"/>
  <c r="K183" i="7"/>
  <c r="K113" i="7"/>
  <c r="I113" i="7"/>
  <c r="I36" i="7"/>
  <c r="K36" i="7"/>
  <c r="I176" i="7"/>
  <c r="K176" i="7"/>
  <c r="I80" i="7"/>
  <c r="K80" i="7"/>
  <c r="I169" i="7"/>
  <c r="K169" i="7"/>
  <c r="I92" i="7"/>
  <c r="K92" i="7"/>
  <c r="I245" i="7"/>
  <c r="K245" i="7"/>
  <c r="I200" i="7"/>
  <c r="K200" i="7"/>
  <c r="I104" i="7"/>
  <c r="K104" i="7"/>
  <c r="I199" i="7"/>
  <c r="K199" i="7"/>
  <c r="I135" i="7"/>
  <c r="K135" i="7"/>
  <c r="I65" i="7"/>
  <c r="K65" i="7"/>
  <c r="I45" i="7"/>
  <c r="K45" i="7"/>
  <c r="I70" i="7"/>
  <c r="K70" i="7"/>
  <c r="I262" i="7"/>
  <c r="K262" i="7"/>
  <c r="I311" i="7"/>
  <c r="K311" i="7"/>
  <c r="I257" i="7"/>
  <c r="K257" i="7"/>
  <c r="I191" i="7"/>
  <c r="K191" i="7"/>
  <c r="L68" i="3"/>
  <c r="F68" i="3"/>
  <c r="K44" i="3"/>
  <c r="C14" i="1" s="1"/>
  <c r="K43" i="3"/>
  <c r="C9" i="1" s="1"/>
  <c r="K13" i="3"/>
  <c r="C8" i="1" s="1"/>
  <c r="K14" i="3"/>
  <c r="C13" i="1" s="1"/>
  <c r="D67" i="4"/>
  <c r="D145" i="4" s="1"/>
  <c r="D223" i="4" s="1"/>
  <c r="D144" i="4"/>
  <c r="D222" i="4" s="1"/>
  <c r="I296" i="7"/>
  <c r="K296" i="7"/>
  <c r="I144" i="7"/>
  <c r="K144" i="7"/>
  <c r="G7" i="13"/>
  <c r="J10" i="13"/>
  <c r="I288" i="7"/>
  <c r="K288" i="7"/>
  <c r="I276" i="7"/>
  <c r="K276" i="7"/>
  <c r="K263" i="7"/>
  <c r="I263" i="7"/>
  <c r="I153" i="7"/>
  <c r="K153" i="7"/>
  <c r="I44" i="7"/>
  <c r="K44" i="7"/>
  <c r="I170" i="7"/>
  <c r="K170" i="7"/>
  <c r="I100" i="7"/>
  <c r="K100" i="7"/>
  <c r="I274" i="7"/>
  <c r="K274" i="7"/>
  <c r="I163" i="7"/>
  <c r="K163" i="7"/>
  <c r="I35" i="7"/>
  <c r="K35" i="7"/>
  <c r="I162" i="7"/>
  <c r="K162" i="7"/>
  <c r="I73" i="7"/>
  <c r="K73" i="7"/>
  <c r="I241" i="7"/>
  <c r="K241" i="7"/>
  <c r="I187" i="7"/>
  <c r="K187" i="7"/>
  <c r="I91" i="7"/>
  <c r="K91" i="7"/>
  <c r="I193" i="7"/>
  <c r="K193" i="7"/>
  <c r="I129" i="7"/>
  <c r="K129" i="7"/>
  <c r="I58" i="7"/>
  <c r="K58" i="7"/>
  <c r="I32" i="7"/>
  <c r="K32" i="7"/>
  <c r="I110" i="7"/>
  <c r="K110" i="7"/>
  <c r="I270" i="7"/>
  <c r="K270" i="7"/>
  <c r="I265" i="7"/>
  <c r="K265" i="7"/>
  <c r="K259" i="7"/>
  <c r="I259" i="7"/>
  <c r="I277" i="7"/>
  <c r="K277" i="7"/>
  <c r="I127" i="7"/>
  <c r="K127" i="7"/>
  <c r="I25" i="7"/>
  <c r="K25" i="7"/>
  <c r="I164" i="7"/>
  <c r="K164" i="7"/>
  <c r="I87" i="7"/>
  <c r="K87" i="7"/>
  <c r="I258" i="7"/>
  <c r="K258" i="7"/>
  <c r="I157" i="7"/>
  <c r="K157" i="7"/>
  <c r="I29" i="7"/>
  <c r="K29" i="7"/>
  <c r="I156" i="7"/>
  <c r="K156" i="7"/>
  <c r="I60" i="7"/>
  <c r="K60" i="7"/>
  <c r="I237" i="7"/>
  <c r="K237" i="7"/>
  <c r="I181" i="7"/>
  <c r="K181" i="7"/>
  <c r="I72" i="7"/>
  <c r="K72" i="7"/>
  <c r="I186" i="7"/>
  <c r="K186" i="7"/>
  <c r="I122" i="7"/>
  <c r="K122" i="7"/>
  <c r="I52" i="7"/>
  <c r="K52" i="7"/>
  <c r="I18" i="7"/>
  <c r="C3" i="7" s="1"/>
  <c r="C7" i="7" s="1"/>
  <c r="K18" i="7"/>
  <c r="I118" i="7"/>
  <c r="K118" i="7"/>
  <c r="I286" i="7"/>
  <c r="K286" i="7"/>
  <c r="I273" i="7"/>
  <c r="K273" i="7"/>
  <c r="J69" i="3"/>
  <c r="K69" i="3"/>
  <c r="M69" i="3"/>
  <c r="L71" i="3"/>
  <c r="F71" i="3"/>
  <c r="G26" i="13"/>
  <c r="M26" i="13" s="1"/>
  <c r="I39" i="7"/>
  <c r="K39" i="7"/>
  <c r="I21" i="7"/>
  <c r="K21" i="7"/>
  <c r="C5" i="7" s="1"/>
  <c r="I206" i="7"/>
  <c r="K206" i="7"/>
  <c r="I107" i="7"/>
  <c r="K107" i="7"/>
  <c r="I305" i="7"/>
  <c r="K305" i="7"/>
  <c r="I280" i="7"/>
  <c r="K280" i="7"/>
  <c r="M43" i="3"/>
  <c r="E9" i="1" s="1"/>
  <c r="G30" i="13"/>
  <c r="M30" i="13" s="1"/>
  <c r="F14" i="4" l="1"/>
  <c r="G14" i="4" s="1"/>
  <c r="F37" i="4"/>
  <c r="G37" i="4" s="1"/>
  <c r="F41" i="4"/>
  <c r="F115" i="4"/>
  <c r="G115" i="4" s="1"/>
  <c r="F119" i="4"/>
  <c r="F144" i="4"/>
  <c r="G144" i="4" s="1"/>
  <c r="F15" i="4"/>
  <c r="F117" i="4"/>
  <c r="G117" i="4" s="1"/>
  <c r="F141" i="4"/>
  <c r="G141" i="4" s="1"/>
  <c r="F193" i="4"/>
  <c r="G193" i="4" s="1"/>
  <c r="F197" i="4"/>
  <c r="F222" i="4"/>
  <c r="G222" i="4" s="1"/>
  <c r="F38" i="4"/>
  <c r="G38" i="4" s="1"/>
  <c r="F40" i="4"/>
  <c r="G40" i="4" s="1"/>
  <c r="F65" i="4"/>
  <c r="G65" i="4" s="1"/>
  <c r="F90" i="4"/>
  <c r="G90" i="4" s="1"/>
  <c r="F92" i="4"/>
  <c r="F142" i="4"/>
  <c r="G142" i="4" s="1"/>
  <c r="F168" i="4"/>
  <c r="G168" i="4" s="1"/>
  <c r="F171" i="4"/>
  <c r="F221" i="4"/>
  <c r="G221" i="4" s="1"/>
  <c r="F11" i="4"/>
  <c r="G11" i="4" s="1"/>
  <c r="F13" i="4"/>
  <c r="G13" i="4" s="1"/>
  <c r="F194" i="4"/>
  <c r="G194" i="4" s="1"/>
  <c r="F39" i="4"/>
  <c r="G39" i="4" s="1"/>
  <c r="F64" i="4"/>
  <c r="G64" i="4" s="1"/>
  <c r="F143" i="4"/>
  <c r="G143" i="4" s="1"/>
  <c r="F167" i="4"/>
  <c r="G167" i="4" s="1"/>
  <c r="F220" i="4"/>
  <c r="G220" i="4" s="1"/>
  <c r="F89" i="4"/>
  <c r="G89" i="4" s="1"/>
  <c r="F169" i="4"/>
  <c r="G169" i="4" s="1"/>
  <c r="F63" i="4"/>
  <c r="G63" i="4" s="1"/>
  <c r="F91" i="4"/>
  <c r="G91" i="4" s="1"/>
  <c r="F116" i="4"/>
  <c r="G116" i="4" s="1"/>
  <c r="F223" i="4"/>
  <c r="G223" i="4" s="1"/>
  <c r="F12" i="4"/>
  <c r="G12" i="4" s="1"/>
  <c r="F93" i="4"/>
  <c r="F219" i="4"/>
  <c r="G219" i="4" s="1"/>
  <c r="F118" i="4"/>
  <c r="G118" i="4" s="1"/>
  <c r="F170" i="4"/>
  <c r="F196" i="4"/>
  <c r="F66" i="4"/>
  <c r="G66" i="4" s="1"/>
  <c r="F145" i="4"/>
  <c r="G145" i="4" s="1"/>
  <c r="F195" i="4"/>
  <c r="G195" i="4" s="1"/>
  <c r="F67" i="4"/>
  <c r="G67" i="4" s="1"/>
  <c r="L43" i="3"/>
  <c r="D9" i="1" s="1"/>
  <c r="L44" i="3"/>
  <c r="D14" i="1" s="1"/>
  <c r="G28" i="13"/>
  <c r="M28" i="13" s="1"/>
  <c r="L28" i="13"/>
  <c r="L13" i="3"/>
  <c r="D8" i="1" s="1"/>
  <c r="G29" i="13"/>
  <c r="M29" i="13" s="1"/>
  <c r="M32" i="13" s="1"/>
  <c r="L29" i="13"/>
  <c r="C16" i="1"/>
  <c r="L8" i="1" s="1"/>
  <c r="M73" i="3"/>
  <c r="E10" i="1" s="1"/>
  <c r="M74" i="3"/>
  <c r="E15" i="1" s="1"/>
  <c r="M33" i="13"/>
  <c r="C11" i="1"/>
  <c r="L5" i="1" s="1"/>
  <c r="K74" i="3"/>
  <c r="C15" i="1" s="1"/>
  <c r="K73" i="3"/>
  <c r="C10" i="1" s="1"/>
  <c r="E16" i="1"/>
  <c r="L10" i="1" s="1"/>
  <c r="E11" i="1"/>
  <c r="L7" i="1" s="1"/>
  <c r="L15" i="1"/>
  <c r="L16" i="1"/>
  <c r="D118" i="4"/>
  <c r="D196" i="4" s="1"/>
  <c r="D41" i="4"/>
  <c r="D119" i="4" s="1"/>
  <c r="D197" i="4" s="1"/>
  <c r="D92" i="4"/>
  <c r="D170" i="4" s="1"/>
  <c r="D15" i="4"/>
  <c r="D93" i="4" s="1"/>
  <c r="D171" i="4" s="1"/>
  <c r="F69" i="3"/>
  <c r="L69" i="3" s="1"/>
  <c r="H30" i="11"/>
  <c r="H29" i="11"/>
  <c r="D36" i="11"/>
  <c r="L73" i="3" l="1"/>
  <c r="D10" i="1" s="1"/>
  <c r="L74" i="3"/>
  <c r="D15" i="1" s="1"/>
  <c r="D16" i="1" s="1"/>
  <c r="L9" i="1" s="1"/>
  <c r="G170" i="4"/>
  <c r="H63" i="4"/>
  <c r="I63" i="4"/>
  <c r="H194" i="4"/>
  <c r="I194" i="4"/>
  <c r="I90" i="4"/>
  <c r="H90" i="4"/>
  <c r="H117" i="4"/>
  <c r="I117" i="4"/>
  <c r="I118" i="4"/>
  <c r="H118" i="4"/>
  <c r="G15" i="4"/>
  <c r="H219" i="4"/>
  <c r="I219" i="4"/>
  <c r="H89" i="4"/>
  <c r="I89" i="4"/>
  <c r="H11" i="4"/>
  <c r="I11" i="4"/>
  <c r="I40" i="4"/>
  <c r="H40" i="4"/>
  <c r="H144" i="4"/>
  <c r="I144" i="4"/>
  <c r="I13" i="4"/>
  <c r="H13" i="4"/>
  <c r="H67" i="4"/>
  <c r="I67" i="4"/>
  <c r="G93" i="4"/>
  <c r="H220" i="4"/>
  <c r="I220" i="4"/>
  <c r="H221" i="4"/>
  <c r="I221" i="4"/>
  <c r="H38" i="4"/>
  <c r="I38" i="4"/>
  <c r="G119" i="4"/>
  <c r="H169" i="4"/>
  <c r="I169" i="4"/>
  <c r="D11" i="1"/>
  <c r="L6" i="1" s="1"/>
  <c r="H195" i="4"/>
  <c r="I195" i="4"/>
  <c r="H12" i="4"/>
  <c r="I12" i="4"/>
  <c r="H167" i="4"/>
  <c r="I167" i="4"/>
  <c r="G171" i="4"/>
  <c r="I222" i="4"/>
  <c r="H222" i="4"/>
  <c r="I115" i="4"/>
  <c r="H115" i="4"/>
  <c r="H65" i="4"/>
  <c r="I65" i="4"/>
  <c r="L32" i="13"/>
  <c r="M35" i="13" s="1"/>
  <c r="L33" i="13"/>
  <c r="M36" i="13" s="1"/>
  <c r="I145" i="4"/>
  <c r="H145" i="4"/>
  <c r="H223" i="4"/>
  <c r="I223" i="4"/>
  <c r="I143" i="4"/>
  <c r="H143" i="4"/>
  <c r="H168" i="4"/>
  <c r="I168" i="4"/>
  <c r="G197" i="4"/>
  <c r="G41" i="4"/>
  <c r="I66" i="4"/>
  <c r="H66" i="4"/>
  <c r="H116" i="4"/>
  <c r="I116" i="4"/>
  <c r="H64" i="4"/>
  <c r="I64" i="4"/>
  <c r="I142" i="4"/>
  <c r="H142" i="4"/>
  <c r="H193" i="4"/>
  <c r="I193" i="4"/>
  <c r="H37" i="4"/>
  <c r="I37" i="4"/>
  <c r="G196" i="4"/>
  <c r="H91" i="4"/>
  <c r="I91" i="4"/>
  <c r="H39" i="4"/>
  <c r="I39" i="4"/>
  <c r="G92" i="4"/>
  <c r="H141" i="4"/>
  <c r="I141" i="4"/>
  <c r="I14" i="4"/>
  <c r="H14" i="4"/>
  <c r="H196" i="4" l="1"/>
  <c r="I196" i="4"/>
  <c r="I171" i="4"/>
  <c r="H171" i="4"/>
  <c r="I15" i="4"/>
  <c r="H15" i="4"/>
  <c r="I146" i="4"/>
  <c r="E24" i="1" s="1"/>
  <c r="I147" i="4"/>
  <c r="I172" i="4"/>
  <c r="C25" i="1" s="1"/>
  <c r="I93" i="4"/>
  <c r="H93" i="4"/>
  <c r="I68" i="4"/>
  <c r="E23" i="1" s="1"/>
  <c r="I69" i="4"/>
  <c r="H225" i="4"/>
  <c r="H224" i="4"/>
  <c r="E21" i="1" s="1"/>
  <c r="H146" i="4"/>
  <c r="E20" i="1" s="1"/>
  <c r="H147" i="4"/>
  <c r="H172" i="4"/>
  <c r="C21" i="1" s="1"/>
  <c r="H173" i="4"/>
  <c r="H119" i="4"/>
  <c r="I119" i="4"/>
  <c r="I16" i="4"/>
  <c r="C23" i="1" s="1"/>
  <c r="I17" i="4"/>
  <c r="H68" i="4"/>
  <c r="E19" i="1" s="1"/>
  <c r="H69" i="4"/>
  <c r="H92" i="4"/>
  <c r="H94" i="4" s="1"/>
  <c r="C20" i="1" s="1"/>
  <c r="I92" i="4"/>
  <c r="I95" i="4" s="1"/>
  <c r="H16" i="4"/>
  <c r="C19" i="1" s="1"/>
  <c r="H17" i="4"/>
  <c r="I170" i="4"/>
  <c r="I173" i="4" s="1"/>
  <c r="H170" i="4"/>
  <c r="H198" i="4"/>
  <c r="D21" i="1" s="1"/>
  <c r="H199" i="4"/>
  <c r="H121" i="4"/>
  <c r="H120" i="4"/>
  <c r="D20" i="1" s="1"/>
  <c r="I94" i="4"/>
  <c r="C24" i="1" s="1"/>
  <c r="H41" i="4"/>
  <c r="H42" i="4" s="1"/>
  <c r="D19" i="1" s="1"/>
  <c r="I41" i="4"/>
  <c r="I42" i="4" s="1"/>
  <c r="D23" i="1" s="1"/>
  <c r="I121" i="4"/>
  <c r="I120" i="4"/>
  <c r="D24" i="1" s="1"/>
  <c r="I197" i="4"/>
  <c r="I199" i="4" s="1"/>
  <c r="H197" i="4"/>
  <c r="I224" i="4"/>
  <c r="E25" i="1" s="1"/>
  <c r="I225" i="4"/>
  <c r="H43" i="4" l="1"/>
  <c r="L11" i="1"/>
  <c r="L12" i="1"/>
  <c r="H95" i="4"/>
  <c r="I43" i="4"/>
  <c r="I198" i="4"/>
  <c r="D25" i="1" s="1"/>
  <c r="L14" i="1" s="1"/>
  <c r="L13" i="1" l="1"/>
</calcChain>
</file>

<file path=xl/sharedStrings.xml><?xml version="1.0" encoding="utf-8"?>
<sst xmlns="http://schemas.openxmlformats.org/spreadsheetml/2006/main" count="2585" uniqueCount="1576">
  <si>
    <t>[1]</t>
  </si>
  <si>
    <t>[2]</t>
  </si>
  <si>
    <t>[3]</t>
  </si>
  <si>
    <t>[4]</t>
  </si>
  <si>
    <t>[5]</t>
  </si>
  <si>
    <t>[6]</t>
  </si>
  <si>
    <t>Company</t>
  </si>
  <si>
    <t>Ticker</t>
  </si>
  <si>
    <t>Dividends</t>
  </si>
  <si>
    <t>Positive Growth Rates from at least two sources (Value Line, Yahoo! First Call, and Zacks)</t>
  </si>
  <si>
    <t>Announced Merger</t>
  </si>
  <si>
    <t>Yes</t>
  </si>
  <si>
    <t>A-</t>
  </si>
  <si>
    <t>No</t>
  </si>
  <si>
    <t>BBB+</t>
  </si>
  <si>
    <t>Notes:</t>
  </si>
  <si>
    <t>LNT</t>
  </si>
  <si>
    <t>AEE</t>
  </si>
  <si>
    <t>AEP</t>
  </si>
  <si>
    <t>DUK</t>
  </si>
  <si>
    <t>Edison International</t>
  </si>
  <si>
    <t>EIX</t>
  </si>
  <si>
    <t>ETR</t>
  </si>
  <si>
    <t>Eversource Energy</t>
  </si>
  <si>
    <t>ES</t>
  </si>
  <si>
    <t>EVRG</t>
  </si>
  <si>
    <t>NEE</t>
  </si>
  <si>
    <t>XEL</t>
  </si>
  <si>
    <t>S&amp;P Credit Rating Between BBB- and AAA</t>
  </si>
  <si>
    <t>30-DAY CONSTANT GROWTH DCF</t>
  </si>
  <si>
    <t>Annualized Dividend</t>
  </si>
  <si>
    <t>Stock
Price</t>
  </si>
  <si>
    <t>Dividend Yield</t>
  </si>
  <si>
    <t>Expected Dividend Yield</t>
  </si>
  <si>
    <t>Value Line Projected EPS Growth Rate</t>
  </si>
  <si>
    <t>Yahoo! Finance Projected EPS Growth Rate</t>
  </si>
  <si>
    <t>Zacks Projected EPS Growth Rate</t>
  </si>
  <si>
    <t>Average Projected EPS Growth Rate</t>
  </si>
  <si>
    <t>Cost of Equity:  Minimum Growth Rate</t>
  </si>
  <si>
    <t>Cost of Equity:  Mean Growth Rate</t>
  </si>
  <si>
    <t>Cost of Equity:  Maximum Growth Rate</t>
  </si>
  <si>
    <t>Mean</t>
  </si>
  <si>
    <t>Median</t>
  </si>
  <si>
    <t>[3] Equals [1]/[2]</t>
  </si>
  <si>
    <t>[4] Equals [3] x (1 + 0.5 x [8])</t>
  </si>
  <si>
    <t>[6] Yahoo! Finance</t>
  </si>
  <si>
    <t>[7] Zacks</t>
  </si>
  <si>
    <t>[8] Equals average of [5], [6], [7]</t>
  </si>
  <si>
    <t>[9] Equals [3] x (1 + 0.5 x (min([5], [6], [7])) + (min([5], [6], [7])</t>
  </si>
  <si>
    <t>[10] Equals [4] + [8]</t>
  </si>
  <si>
    <t>[11] Equals [3] x (1 + 0.5 x (max([5], [6], [7])) + (max([5], [6], [7])</t>
  </si>
  <si>
    <t>90-DAY CONSTANT GROWTH DCF</t>
  </si>
  <si>
    <t>180-DAY CONSTANT GROWTH DCF</t>
  </si>
  <si>
    <t>CAPITAL ASSET PRICING MODEL</t>
  </si>
  <si>
    <t>CURRENT RISK FREE RATE AND VALUE LINE BETA</t>
  </si>
  <si>
    <t>K = Rf + β (Rm − Rf)</t>
  </si>
  <si>
    <t>K = Rf + 0.25 x (Rm - Rf) + 0.75 x β x (Rm − Rf)</t>
  </si>
  <si>
    <t>Beta (β)</t>
  </si>
  <si>
    <t>Market Return (Rm)</t>
  </si>
  <si>
    <t>Market Risk Premium (Rm − Rf)</t>
  </si>
  <si>
    <t>CAPM ROE (K)</t>
  </si>
  <si>
    <t>ECAPM ROE (K)</t>
  </si>
  <si>
    <t>[4] Equals [3]-[1]</t>
  </si>
  <si>
    <t>[5] Equals [1] + [2] x [4]</t>
  </si>
  <si>
    <t>[6] Equals [1] + 0.25 x ([4]) + 0.75 x ([2] x [4])</t>
  </si>
  <si>
    <t>NEAR TERM PROJECTED RISK-FREE RATE AND VALUE LINE BETA</t>
  </si>
  <si>
    <t>LONG-TERM PROJECTED RISK-FREE RATE AND VALUE LINE BETA</t>
  </si>
  <si>
    <t>CURRENT RISK FREE RATE AND BLOOMBERG BETA</t>
  </si>
  <si>
    <t>NEAR TERM PROJECTED RISK-FREE RATE AND BLOOMBERG BETA</t>
  </si>
  <si>
    <t>LONG-TERM PROJECTED RISK-FREE RATE AND BLOOMBERG BETA</t>
  </si>
  <si>
    <t xml:space="preserve">CURRENT RISK FREE RATE AND LONG-TERM VALUE LINE BETA </t>
  </si>
  <si>
    <t xml:space="preserve">NEAR-TERM PROJECTED RISK FREE RATE AND LONG-TERM VALUE LINE BETA </t>
  </si>
  <si>
    <t xml:space="preserve">LONG-TERM PROJECTED RISK FREE RATE AND LONG-TERM VALUE LINE BETA </t>
  </si>
  <si>
    <t>X</t>
  </si>
  <si>
    <t>Y</t>
  </si>
  <si>
    <t>Average</t>
  </si>
  <si>
    <t>30-Day Avg. Stock Price</t>
  </si>
  <si>
    <t>90-Day Avg. Stock Price</t>
  </si>
  <si>
    <t xml:space="preserve">CAPM </t>
  </si>
  <si>
    <t>180-Day Avg. Stock Price</t>
  </si>
  <si>
    <t xml:space="preserve">ECAPM </t>
  </si>
  <si>
    <t>Risk Premium</t>
  </si>
  <si>
    <t>Low End ROE Recommendation</t>
  </si>
  <si>
    <t>High End ROE Recommendation</t>
  </si>
  <si>
    <t>Treasury</t>
  </si>
  <si>
    <r>
      <t xml:space="preserve">Current </t>
    </r>
    <r>
      <rPr>
        <i/>
        <sz val="12"/>
        <rFont val="Times New Roman"/>
        <family val="1"/>
      </rPr>
      <t>Value Line</t>
    </r>
    <r>
      <rPr>
        <sz val="12"/>
        <rFont val="Times New Roman"/>
        <family val="1"/>
      </rPr>
      <t xml:space="preserve"> Beta</t>
    </r>
  </si>
  <si>
    <t>Current Bloomberg Beta</t>
  </si>
  <si>
    <r>
      <t xml:space="preserve">Long-term Avg. </t>
    </r>
    <r>
      <rPr>
        <i/>
        <sz val="12"/>
        <rFont val="Times New Roman"/>
        <family val="1"/>
      </rPr>
      <t>Value Line</t>
    </r>
    <r>
      <rPr>
        <sz val="12"/>
        <rFont val="Times New Roman"/>
        <family val="1"/>
      </rPr>
      <t xml:space="preserve"> Beta</t>
    </r>
  </si>
  <si>
    <t>BOND YIELD PLUS RISK PREMIUM</t>
  </si>
  <si>
    <t>Quarter</t>
  </si>
  <si>
    <t>U.S. Govt. 30-year Treasury</t>
  </si>
  <si>
    <t>1993.2</t>
  </si>
  <si>
    <t>1993.3</t>
  </si>
  <si>
    <t>1993.4</t>
  </si>
  <si>
    <t>1994.1</t>
  </si>
  <si>
    <t>1994.2</t>
  </si>
  <si>
    <t>1994.3</t>
  </si>
  <si>
    <t>1994.4</t>
  </si>
  <si>
    <t>1995.2</t>
  </si>
  <si>
    <t>1995.3</t>
  </si>
  <si>
    <t>1995.4</t>
  </si>
  <si>
    <t>1996.1</t>
  </si>
  <si>
    <t>SUMMARY OUTPUT</t>
  </si>
  <si>
    <t>1996.2</t>
  </si>
  <si>
    <t>1996.3</t>
  </si>
  <si>
    <t>Regression Statistics</t>
  </si>
  <si>
    <t>1996.4</t>
  </si>
  <si>
    <t>Multiple R</t>
  </si>
  <si>
    <t>1997.1</t>
  </si>
  <si>
    <t>R Square</t>
  </si>
  <si>
    <t>1997.2</t>
  </si>
  <si>
    <t>Adjusted R Square</t>
  </si>
  <si>
    <t>1997.3</t>
  </si>
  <si>
    <t>Standard Error</t>
  </si>
  <si>
    <t>1997.4</t>
  </si>
  <si>
    <t>Observations</t>
  </si>
  <si>
    <t>1998.2</t>
  </si>
  <si>
    <t>ANOVA</t>
  </si>
  <si>
    <t>1998.3</t>
  </si>
  <si>
    <t>df</t>
  </si>
  <si>
    <t>SS</t>
  </si>
  <si>
    <t>MS</t>
  </si>
  <si>
    <t>F</t>
  </si>
  <si>
    <t>Significance F</t>
  </si>
  <si>
    <t>1998.4</t>
  </si>
  <si>
    <t>Regression</t>
  </si>
  <si>
    <t>1999.1</t>
  </si>
  <si>
    <t>Residual</t>
  </si>
  <si>
    <t>1999.2</t>
  </si>
  <si>
    <t>Total</t>
  </si>
  <si>
    <t>1999.4</t>
  </si>
  <si>
    <t>Coefficients</t>
  </si>
  <si>
    <t>t Stat</t>
  </si>
  <si>
    <t>P-value</t>
  </si>
  <si>
    <t>Lower 95%</t>
  </si>
  <si>
    <t>Upper 95%</t>
  </si>
  <si>
    <t>Lower 95.0%</t>
  </si>
  <si>
    <t>Upper 95.0%</t>
  </si>
  <si>
    <t>2000.1</t>
  </si>
  <si>
    <t>Intercept</t>
  </si>
  <si>
    <t>2000.2</t>
  </si>
  <si>
    <t>2000.3</t>
  </si>
  <si>
    <t>2000.4</t>
  </si>
  <si>
    <t>2001.1</t>
  </si>
  <si>
    <t>2001.2</t>
  </si>
  <si>
    <t>Risk</t>
  </si>
  <si>
    <t>2001.4</t>
  </si>
  <si>
    <t>Premium</t>
  </si>
  <si>
    <t>ROE</t>
  </si>
  <si>
    <t>2002.1</t>
  </si>
  <si>
    <t>2002.2</t>
  </si>
  <si>
    <t>Current 30-day average of 30-year U.S. Treasury bond yield [4]</t>
  </si>
  <si>
    <t>2002.3</t>
  </si>
  <si>
    <t>2002.4</t>
  </si>
  <si>
    <t>2003.1</t>
  </si>
  <si>
    <t>AVERAGE</t>
  </si>
  <si>
    <t>2003.2</t>
  </si>
  <si>
    <t>2003.3</t>
  </si>
  <si>
    <t>2003.4</t>
  </si>
  <si>
    <t>2004.1</t>
  </si>
  <si>
    <t>2004.2</t>
  </si>
  <si>
    <t>[3] Equals Column [1] − Column [2]</t>
  </si>
  <si>
    <t>2004.3</t>
  </si>
  <si>
    <t>2005.1</t>
  </si>
  <si>
    <t>2005.2</t>
  </si>
  <si>
    <t>2005.3</t>
  </si>
  <si>
    <t>[9] Equals Column [7] + Column [8]</t>
  </si>
  <si>
    <t>2006.1</t>
  </si>
  <si>
    <t>2006.2</t>
  </si>
  <si>
    <t>2006.3</t>
  </si>
  <si>
    <t>2007.1</t>
  </si>
  <si>
    <t>2007.2</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</si>
  <si>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</si>
  <si>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</si>
  <si>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</si>
  <si>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</si>
  <si>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</si>
  <si>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</si>
  <si>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</si>
  <si>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</si>
  <si>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</si>
  <si>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</si>
  <si>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</si>
  <si>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</si>
  <si>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</si>
  <si>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</si>
  <si>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</si>
  <si>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</si>
  <si>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</si>
  <si>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</si>
  <si>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</si>
  <si>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</si>
  <si>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</si>
  <si>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</si>
  <si>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</si>
  <si>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</si>
  <si>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</si>
  <si>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</si>
  <si>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</si>
  <si>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</si>
  <si>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</si>
  <si>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</si>
  <si>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</si>
  <si>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</si>
  <si>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</si>
  <si>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</si>
  <si>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</si>
  <si>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</si>
  <si>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</si>
  <si>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</si>
  <si>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MEDIAN</t>
  </si>
  <si>
    <t>MARKET RISK PREMIUM DERIVED FROM S&amp;P 500 INDEX</t>
  </si>
  <si>
    <t>[1] Estimate of the S&amp;P 500 Dividend Yield</t>
  </si>
  <si>
    <t>[2] Estimate of the S&amp;P 500 Growth Rate</t>
  </si>
  <si>
    <t>[3] S&amp;P 500 Estimated Required Market Return</t>
  </si>
  <si>
    <t>[7]</t>
  </si>
  <si>
    <t>[8]</t>
  </si>
  <si>
    <t>[9]</t>
  </si>
  <si>
    <t>[10]</t>
  </si>
  <si>
    <t>[11]</t>
  </si>
  <si>
    <t xml:space="preserve">Cap-Weighted </t>
  </si>
  <si>
    <t>Shares</t>
  </si>
  <si>
    <t>Market</t>
  </si>
  <si>
    <t>Weight in</t>
  </si>
  <si>
    <t>Estimated</t>
  </si>
  <si>
    <t>Cap-Weighted</t>
  </si>
  <si>
    <t>Long-Term</t>
  </si>
  <si>
    <t>Name</t>
  </si>
  <si>
    <t>Outst'g</t>
  </si>
  <si>
    <t>Price</t>
  </si>
  <si>
    <t>Capitalization</t>
  </si>
  <si>
    <t>Index</t>
  </si>
  <si>
    <t>Growth Est.</t>
  </si>
  <si>
    <t>LyondellBasell Industries NV</t>
  </si>
  <si>
    <t>LYB</t>
  </si>
  <si>
    <t>American Express Co</t>
  </si>
  <si>
    <t>AXP</t>
  </si>
  <si>
    <t>Verizon Communications Inc</t>
  </si>
  <si>
    <t>VZ</t>
  </si>
  <si>
    <t>Broadcom Inc</t>
  </si>
  <si>
    <t>AVGO</t>
  </si>
  <si>
    <t>Boeing Co/The</t>
  </si>
  <si>
    <t>BA</t>
  </si>
  <si>
    <t/>
  </si>
  <si>
    <t>Caterpillar Inc</t>
  </si>
  <si>
    <t>CAT</t>
  </si>
  <si>
    <t>JPMorgan Chase &amp; Co</t>
  </si>
  <si>
    <t>JPM</t>
  </si>
  <si>
    <t>Chevron Corp</t>
  </si>
  <si>
    <t>CVX</t>
  </si>
  <si>
    <t>Coca-Cola Co/The</t>
  </si>
  <si>
    <t>KO</t>
  </si>
  <si>
    <t>AbbVie Inc</t>
  </si>
  <si>
    <t>ABBV</t>
  </si>
  <si>
    <t>Walt Disney Co/The</t>
  </si>
  <si>
    <t>DIS</t>
  </si>
  <si>
    <t>Extra Space Storage Inc</t>
  </si>
  <si>
    <t>EXR</t>
  </si>
  <si>
    <t>Exxon Mobil Corp</t>
  </si>
  <si>
    <t>XOM</t>
  </si>
  <si>
    <t>Phillips 66</t>
  </si>
  <si>
    <t>PSX</t>
  </si>
  <si>
    <t>General Electric Co</t>
  </si>
  <si>
    <t>GE</t>
  </si>
  <si>
    <t>HP Inc</t>
  </si>
  <si>
    <t>HPQ</t>
  </si>
  <si>
    <t>Home Depot Inc/The</t>
  </si>
  <si>
    <t>HD</t>
  </si>
  <si>
    <t>Monolithic Power Systems Inc</t>
  </si>
  <si>
    <t>MPWR</t>
  </si>
  <si>
    <t>International Business Machines Corp</t>
  </si>
  <si>
    <t>IBM</t>
  </si>
  <si>
    <t>Johnson &amp; Johnson</t>
  </si>
  <si>
    <t>JNJ</t>
  </si>
  <si>
    <t>McDonald's Corp</t>
  </si>
  <si>
    <t>MCD</t>
  </si>
  <si>
    <t>Merck &amp; Co Inc</t>
  </si>
  <si>
    <t>MRK</t>
  </si>
  <si>
    <t>3M Co</t>
  </si>
  <si>
    <t>MMM</t>
  </si>
  <si>
    <t>American Water Works Co Inc</t>
  </si>
  <si>
    <t>AWK</t>
  </si>
  <si>
    <t>Bank of America Corp</t>
  </si>
  <si>
    <t>BAC</t>
  </si>
  <si>
    <t>Pfizer Inc</t>
  </si>
  <si>
    <t>PFE</t>
  </si>
  <si>
    <t>Procter &amp; Gamble Co/The</t>
  </si>
  <si>
    <t>PG</t>
  </si>
  <si>
    <t>AT&amp;T Inc</t>
  </si>
  <si>
    <t>T</t>
  </si>
  <si>
    <t>Travelers Cos Inc/The</t>
  </si>
  <si>
    <t>TRV</t>
  </si>
  <si>
    <t>RTX</t>
  </si>
  <si>
    <t>Analog Devices Inc</t>
  </si>
  <si>
    <t>ADI</t>
  </si>
  <si>
    <t>Walmart Inc</t>
  </si>
  <si>
    <t>WMT</t>
  </si>
  <si>
    <t>Cisco Systems Inc</t>
  </si>
  <si>
    <t>CSCO</t>
  </si>
  <si>
    <t>Intel Corp</t>
  </si>
  <si>
    <t>INTC</t>
  </si>
  <si>
    <t>General Motors Co</t>
  </si>
  <si>
    <t>GM</t>
  </si>
  <si>
    <t>Microsoft Corp</t>
  </si>
  <si>
    <t>MSFT</t>
  </si>
  <si>
    <t>Dollar General Corp</t>
  </si>
  <si>
    <t>DG</t>
  </si>
  <si>
    <t>CI</t>
  </si>
  <si>
    <t>Kinder Morgan Inc</t>
  </si>
  <si>
    <t>KMI</t>
  </si>
  <si>
    <t>Citigroup Inc</t>
  </si>
  <si>
    <t>C</t>
  </si>
  <si>
    <t>American International Group Inc</t>
  </si>
  <si>
    <t>AIG</t>
  </si>
  <si>
    <t>Altria Group Inc</t>
  </si>
  <si>
    <t>MO</t>
  </si>
  <si>
    <t>HCA Healthcare Inc</t>
  </si>
  <si>
    <t>HCA</t>
  </si>
  <si>
    <t>International Paper Co</t>
  </si>
  <si>
    <t>IP</t>
  </si>
  <si>
    <t>Hewlett Packard Enterprise Co</t>
  </si>
  <si>
    <t>HPE</t>
  </si>
  <si>
    <t>Abbott Laboratories</t>
  </si>
  <si>
    <t>ABT</t>
  </si>
  <si>
    <t>Aflac Inc</t>
  </si>
  <si>
    <t>AFL</t>
  </si>
  <si>
    <t>Air Products and Chemicals Inc</t>
  </si>
  <si>
    <t>APD</t>
  </si>
  <si>
    <t>Royal Caribbean Cruises Ltd</t>
  </si>
  <si>
    <t>RCL</t>
  </si>
  <si>
    <t>Hess Corp</t>
  </si>
  <si>
    <t>HES</t>
  </si>
  <si>
    <t>Archer-Daniels-Midland Co</t>
  </si>
  <si>
    <t>ADM</t>
  </si>
  <si>
    <t>Automatic Data Processing Inc</t>
  </si>
  <si>
    <t>ADP</t>
  </si>
  <si>
    <t>Verisk Analytics Inc</t>
  </si>
  <si>
    <t>VRSK</t>
  </si>
  <si>
    <t>AutoZone Inc</t>
  </si>
  <si>
    <t>AZO</t>
  </si>
  <si>
    <t>Avery Dennison Corp</t>
  </si>
  <si>
    <t>AVY</t>
  </si>
  <si>
    <t>Enphase Energy Inc</t>
  </si>
  <si>
    <t>ENPH</t>
  </si>
  <si>
    <t>MSCI Inc</t>
  </si>
  <si>
    <t>MSCI</t>
  </si>
  <si>
    <t>Ball Corp</t>
  </si>
  <si>
    <t>BALL</t>
  </si>
  <si>
    <t>Carrier Global Corp</t>
  </si>
  <si>
    <t>CARR</t>
  </si>
  <si>
    <t>Bank of New York Mellon Corp/The</t>
  </si>
  <si>
    <t>BK</t>
  </si>
  <si>
    <t>Otis Worldwide Corp</t>
  </si>
  <si>
    <t>OTIS</t>
  </si>
  <si>
    <t>Baxter International Inc</t>
  </si>
  <si>
    <t>BAX</t>
  </si>
  <si>
    <t>BDX</t>
  </si>
  <si>
    <t>Berkshire Hathaway Inc</t>
  </si>
  <si>
    <t>BRK/B</t>
  </si>
  <si>
    <t>Best Buy Co Inc</t>
  </si>
  <si>
    <t>BBY</t>
  </si>
  <si>
    <t>Boston Scientific Corp</t>
  </si>
  <si>
    <t>BSX</t>
  </si>
  <si>
    <t>Bristol-Myers Squibb Co</t>
  </si>
  <si>
    <t>BMY</t>
  </si>
  <si>
    <t>Brown-Forman Corp</t>
  </si>
  <si>
    <t>BF/B</t>
  </si>
  <si>
    <t>Coterra Energy Inc</t>
  </si>
  <si>
    <t>CTRA</t>
  </si>
  <si>
    <t>Campbell Soup Co</t>
  </si>
  <si>
    <t>CPB</t>
  </si>
  <si>
    <t>Hilton Worldwide Holdings Inc</t>
  </si>
  <si>
    <t>HLT</t>
  </si>
  <si>
    <t>Carnival Corp</t>
  </si>
  <si>
    <t>CCL</t>
  </si>
  <si>
    <t>Qorvo Inc</t>
  </si>
  <si>
    <t>QRVO</t>
  </si>
  <si>
    <t>UDR Inc</t>
  </si>
  <si>
    <t>UDR</t>
  </si>
  <si>
    <t>Clorox Co/The</t>
  </si>
  <si>
    <t>CLX</t>
  </si>
  <si>
    <t>Paycom Software Inc</t>
  </si>
  <si>
    <t>PAYC</t>
  </si>
  <si>
    <t>CMS Energy Corp</t>
  </si>
  <si>
    <t>CMS</t>
  </si>
  <si>
    <t>Colgate-Palmolive Co</t>
  </si>
  <si>
    <t>CL</t>
  </si>
  <si>
    <t>EPAM Systems Inc</t>
  </si>
  <si>
    <t>EPAM</t>
  </si>
  <si>
    <t>Conagra Brands Inc</t>
  </si>
  <si>
    <t>CAG</t>
  </si>
  <si>
    <t>Consolidated Edison Inc</t>
  </si>
  <si>
    <t>ED</t>
  </si>
  <si>
    <t>Corning Inc</t>
  </si>
  <si>
    <t>GLW</t>
  </si>
  <si>
    <t>Cummins Inc</t>
  </si>
  <si>
    <t>CMI</t>
  </si>
  <si>
    <t>Caesars Entertainment Inc</t>
  </si>
  <si>
    <t>CZR</t>
  </si>
  <si>
    <t>Danaher Corp</t>
  </si>
  <si>
    <t>DHR</t>
  </si>
  <si>
    <t>Target Corp</t>
  </si>
  <si>
    <t>TGT</t>
  </si>
  <si>
    <t>Deere &amp; Co</t>
  </si>
  <si>
    <t>DE</t>
  </si>
  <si>
    <t>Dominion Energy Inc</t>
  </si>
  <si>
    <t>D</t>
  </si>
  <si>
    <t>Dover Corp</t>
  </si>
  <si>
    <t>DOV</t>
  </si>
  <si>
    <t>Alliant Energy Corp</t>
  </si>
  <si>
    <t>Steel Dynamics Inc</t>
  </si>
  <si>
    <t>STLD</t>
  </si>
  <si>
    <t>Duke Energy Corp</t>
  </si>
  <si>
    <t>Regency Centers Corp</t>
  </si>
  <si>
    <t>REG</t>
  </si>
  <si>
    <t>Eaton Corp PLC</t>
  </si>
  <si>
    <t>ETN</t>
  </si>
  <si>
    <t>Ecolab Inc</t>
  </si>
  <si>
    <t>ECL</t>
  </si>
  <si>
    <t>Emerson Electric Co</t>
  </si>
  <si>
    <t>EMR</t>
  </si>
  <si>
    <t>EOG Resources Inc</t>
  </si>
  <si>
    <t>EOG</t>
  </si>
  <si>
    <t>Aon PLC</t>
  </si>
  <si>
    <t>AON</t>
  </si>
  <si>
    <t>Entergy Corp</t>
  </si>
  <si>
    <t>Equifax Inc</t>
  </si>
  <si>
    <t>EFX</t>
  </si>
  <si>
    <t>EQT Corp</t>
  </si>
  <si>
    <t>EQT</t>
  </si>
  <si>
    <t>IQVIA Holdings Inc</t>
  </si>
  <si>
    <t>IQV</t>
  </si>
  <si>
    <t>Gartner Inc</t>
  </si>
  <si>
    <t>IT</t>
  </si>
  <si>
    <t>FedEx Corp</t>
  </si>
  <si>
    <t>FDX</t>
  </si>
  <si>
    <t>FMC Corp</t>
  </si>
  <si>
    <t>FMC</t>
  </si>
  <si>
    <t>Brown &amp; Brown Inc</t>
  </si>
  <si>
    <t>BRO</t>
  </si>
  <si>
    <t>Ford Motor Co</t>
  </si>
  <si>
    <t>NextEra Energy Inc</t>
  </si>
  <si>
    <t>Franklin Resources Inc</t>
  </si>
  <si>
    <t>BEN</t>
  </si>
  <si>
    <t>Garmin Ltd</t>
  </si>
  <si>
    <t>GRMN</t>
  </si>
  <si>
    <t>Freeport-McMoRan Inc</t>
  </si>
  <si>
    <t>FCX</t>
  </si>
  <si>
    <t>Dexcom Inc</t>
  </si>
  <si>
    <t>DXCM</t>
  </si>
  <si>
    <t>General Dynamics Corp</t>
  </si>
  <si>
    <t>GD</t>
  </si>
  <si>
    <t>General Mills Inc</t>
  </si>
  <si>
    <t>GIS</t>
  </si>
  <si>
    <t>Genuine Parts Co</t>
  </si>
  <si>
    <t>GPC</t>
  </si>
  <si>
    <t>Atmos Energy Corp</t>
  </si>
  <si>
    <t>ATO</t>
  </si>
  <si>
    <t>WW Grainger Inc</t>
  </si>
  <si>
    <t>GWW</t>
  </si>
  <si>
    <t>Halliburton Co</t>
  </si>
  <si>
    <t>HAL</t>
  </si>
  <si>
    <t>L3Harris Technologies Inc</t>
  </si>
  <si>
    <t>LHX</t>
  </si>
  <si>
    <t>Healthpeak Properties Inc</t>
  </si>
  <si>
    <t>Catalent Inc</t>
  </si>
  <si>
    <t>CTLT</t>
  </si>
  <si>
    <t>Fortive Corp</t>
  </si>
  <si>
    <t>FTV</t>
  </si>
  <si>
    <t>Hershey Co/The</t>
  </si>
  <si>
    <t>HSY</t>
  </si>
  <si>
    <t>Synchrony Financial</t>
  </si>
  <si>
    <t>SYF</t>
  </si>
  <si>
    <t>Hormel Foods Corp</t>
  </si>
  <si>
    <t>HRL</t>
  </si>
  <si>
    <t>Arthur J Gallagher &amp; Co</t>
  </si>
  <si>
    <t>AJG</t>
  </si>
  <si>
    <t>Mondelez International Inc</t>
  </si>
  <si>
    <t>MDLZ</t>
  </si>
  <si>
    <t>CenterPoint Energy Inc</t>
  </si>
  <si>
    <t>CNP</t>
  </si>
  <si>
    <t>Humana Inc</t>
  </si>
  <si>
    <t>HUM</t>
  </si>
  <si>
    <t>Willis Towers Watson PLC</t>
  </si>
  <si>
    <t>WTW</t>
  </si>
  <si>
    <t>Illinois Tool Works Inc</t>
  </si>
  <si>
    <t>ITW</t>
  </si>
  <si>
    <t>CDW Corp/DE</t>
  </si>
  <si>
    <t>CDW</t>
  </si>
  <si>
    <t>Trane Technologies PLC</t>
  </si>
  <si>
    <t>TT</t>
  </si>
  <si>
    <t>Interpublic Group of Cos Inc/The</t>
  </si>
  <si>
    <t>IPG</t>
  </si>
  <si>
    <t>International Flavors &amp; Fragrances Inc</t>
  </si>
  <si>
    <t>IFF</t>
  </si>
  <si>
    <t>Generac Holdings Inc</t>
  </si>
  <si>
    <t>GNRC</t>
  </si>
  <si>
    <t>NXP Semiconductors NV</t>
  </si>
  <si>
    <t>NXPI</t>
  </si>
  <si>
    <t>K</t>
  </si>
  <si>
    <t>Broadridge Financial Solutions Inc</t>
  </si>
  <si>
    <t>BR</t>
  </si>
  <si>
    <t>Kimberly-Clark Corp</t>
  </si>
  <si>
    <t>KMB</t>
  </si>
  <si>
    <t>Kimco Realty Corp</t>
  </si>
  <si>
    <t>KIM</t>
  </si>
  <si>
    <t>Oracle Corp</t>
  </si>
  <si>
    <t>ORCL</t>
  </si>
  <si>
    <t>Kroger Co/The</t>
  </si>
  <si>
    <t>KR</t>
  </si>
  <si>
    <t>Lennar Corp</t>
  </si>
  <si>
    <t>LEN</t>
  </si>
  <si>
    <t>Eli Lilly &amp; Co</t>
  </si>
  <si>
    <t>LLY</t>
  </si>
  <si>
    <t>Bath &amp; Body Works Inc</t>
  </si>
  <si>
    <t>BBWI</t>
  </si>
  <si>
    <t>Charter Communications Inc</t>
  </si>
  <si>
    <t>CHTR</t>
  </si>
  <si>
    <t>Loews Corp</t>
  </si>
  <si>
    <t>L</t>
  </si>
  <si>
    <t>Lowe's Cos Inc</t>
  </si>
  <si>
    <t>LOW</t>
  </si>
  <si>
    <t>IDEX Corp</t>
  </si>
  <si>
    <t>IEX</t>
  </si>
  <si>
    <t>Marsh &amp; McLennan Cos Inc</t>
  </si>
  <si>
    <t>MMC</t>
  </si>
  <si>
    <t>Masco Corp</t>
  </si>
  <si>
    <t>MAS</t>
  </si>
  <si>
    <t>S&amp;P Global Inc</t>
  </si>
  <si>
    <t>SPGI</t>
  </si>
  <si>
    <t>Medtronic PLC</t>
  </si>
  <si>
    <t>MDT</t>
  </si>
  <si>
    <t>Viatris Inc</t>
  </si>
  <si>
    <t>VTRS</t>
  </si>
  <si>
    <t>CVS Health Corp</t>
  </si>
  <si>
    <t>CVS</t>
  </si>
  <si>
    <t>DuPont de Nemours Inc</t>
  </si>
  <si>
    <t>DD</t>
  </si>
  <si>
    <t>Micron Technology Inc</t>
  </si>
  <si>
    <t>MU</t>
  </si>
  <si>
    <t>Motorola Solutions Inc</t>
  </si>
  <si>
    <t>MSI</t>
  </si>
  <si>
    <t>Cboe Global Markets Inc</t>
  </si>
  <si>
    <t>CBOE</t>
  </si>
  <si>
    <t>LH</t>
  </si>
  <si>
    <t>Newmont Corp</t>
  </si>
  <si>
    <t>NEM</t>
  </si>
  <si>
    <t>NIKE Inc</t>
  </si>
  <si>
    <t>NKE</t>
  </si>
  <si>
    <t>NiSource Inc</t>
  </si>
  <si>
    <t>NI</t>
  </si>
  <si>
    <t>Norfolk Southern Corp</t>
  </si>
  <si>
    <t>NSC</t>
  </si>
  <si>
    <t>Principal Financial Group Inc</t>
  </si>
  <si>
    <t>PFG</t>
  </si>
  <si>
    <t>Northrop Grumman Corp</t>
  </si>
  <si>
    <t>NOC</t>
  </si>
  <si>
    <t>Wells Fargo &amp; Co</t>
  </si>
  <si>
    <t>WFC</t>
  </si>
  <si>
    <t>Nucor Corp</t>
  </si>
  <si>
    <t>NUE</t>
  </si>
  <si>
    <t>Occidental Petroleum Corp</t>
  </si>
  <si>
    <t>OXY</t>
  </si>
  <si>
    <t>Omnicom Group Inc</t>
  </si>
  <si>
    <t>OMC</t>
  </si>
  <si>
    <t>ONEOK Inc</t>
  </si>
  <si>
    <t>OKE</t>
  </si>
  <si>
    <t>Raymond James Financial Inc</t>
  </si>
  <si>
    <t>RJF</t>
  </si>
  <si>
    <t>PG&amp;E Corp</t>
  </si>
  <si>
    <t>PCG</t>
  </si>
  <si>
    <t>Parker-Hannifin Corp</t>
  </si>
  <si>
    <t>PH</t>
  </si>
  <si>
    <t>Rollins Inc</t>
  </si>
  <si>
    <t>ROL</t>
  </si>
  <si>
    <t>PPL Corp</t>
  </si>
  <si>
    <t>PPL</t>
  </si>
  <si>
    <t>ConocoPhillips</t>
  </si>
  <si>
    <t>COP</t>
  </si>
  <si>
    <t>PulteGroup Inc</t>
  </si>
  <si>
    <t>PHM</t>
  </si>
  <si>
    <t>Pinnacle West Capital Corp</t>
  </si>
  <si>
    <t>PNW</t>
  </si>
  <si>
    <t>PNC Financial Services Group Inc/The</t>
  </si>
  <si>
    <t>PNC</t>
  </si>
  <si>
    <t>PPG Industries Inc</t>
  </si>
  <si>
    <t>PPG</t>
  </si>
  <si>
    <t>Progressive Corp/The</t>
  </si>
  <si>
    <t>PGR</t>
  </si>
  <si>
    <t>Public Service Enterprise Group Inc</t>
  </si>
  <si>
    <t>PEG</t>
  </si>
  <si>
    <t>SLB</t>
  </si>
  <si>
    <t>Charles Schwab Corp/The</t>
  </si>
  <si>
    <t>SCHW</t>
  </si>
  <si>
    <t>Sherwin-Williams Co/The</t>
  </si>
  <si>
    <t>SHW</t>
  </si>
  <si>
    <t>West Pharmaceutical Services Inc</t>
  </si>
  <si>
    <t>WST</t>
  </si>
  <si>
    <t>J M Smucker Co/The</t>
  </si>
  <si>
    <t>SJM</t>
  </si>
  <si>
    <t>Snap-on Inc</t>
  </si>
  <si>
    <t>SNA</t>
  </si>
  <si>
    <t>AMETEK Inc</t>
  </si>
  <si>
    <t>AME</t>
  </si>
  <si>
    <t>Southern Co/The</t>
  </si>
  <si>
    <t>SO</t>
  </si>
  <si>
    <t>Truist Financial Corp</t>
  </si>
  <si>
    <t>TFC</t>
  </si>
  <si>
    <t>Southwest Airlines Co</t>
  </si>
  <si>
    <t>LUV</t>
  </si>
  <si>
    <t>W R Berkley Corp</t>
  </si>
  <si>
    <t>WRB</t>
  </si>
  <si>
    <t>Stanley Black &amp; Decker Inc</t>
  </si>
  <si>
    <t>SWK</t>
  </si>
  <si>
    <t>Public Storage</t>
  </si>
  <si>
    <t>PSA</t>
  </si>
  <si>
    <t>Arista Networks Inc</t>
  </si>
  <si>
    <t>ANET</t>
  </si>
  <si>
    <t>Sysco Corp</t>
  </si>
  <si>
    <t>SYY</t>
  </si>
  <si>
    <t>Corteva Inc</t>
  </si>
  <si>
    <t>CTVA</t>
  </si>
  <si>
    <t>Texas Instruments Inc</t>
  </si>
  <si>
    <t>TXN</t>
  </si>
  <si>
    <t>Textron Inc</t>
  </si>
  <si>
    <t>TXT</t>
  </si>
  <si>
    <t>Thermo Fisher Scientific Inc</t>
  </si>
  <si>
    <t>TMO</t>
  </si>
  <si>
    <t>TJX Cos Inc/The</t>
  </si>
  <si>
    <t>TJX</t>
  </si>
  <si>
    <t>Globe Life Inc</t>
  </si>
  <si>
    <t>GL</t>
  </si>
  <si>
    <t>Johnson Controls International plc</t>
  </si>
  <si>
    <t>JCI</t>
  </si>
  <si>
    <t>Ulta Beauty Inc</t>
  </si>
  <si>
    <t>ULTA</t>
  </si>
  <si>
    <t>Union Pacific Corp</t>
  </si>
  <si>
    <t>UNP</t>
  </si>
  <si>
    <t>Keysight Technologies Inc</t>
  </si>
  <si>
    <t>KEYS</t>
  </si>
  <si>
    <t>UnitedHealth Group Inc</t>
  </si>
  <si>
    <t>UNH</t>
  </si>
  <si>
    <t>Marathon Oil Corp</t>
  </si>
  <si>
    <t>MRO</t>
  </si>
  <si>
    <t>Bio-Rad Laboratories Inc</t>
  </si>
  <si>
    <t>BIO</t>
  </si>
  <si>
    <t>Ventas Inc</t>
  </si>
  <si>
    <t>VTR</t>
  </si>
  <si>
    <t>Vulcan Materials Co</t>
  </si>
  <si>
    <t>VMC</t>
  </si>
  <si>
    <t>Weyerhaeuser Co</t>
  </si>
  <si>
    <t>WY</t>
  </si>
  <si>
    <t>Williams Cos Inc/The</t>
  </si>
  <si>
    <t>WMB</t>
  </si>
  <si>
    <t>Constellation Energy Corp</t>
  </si>
  <si>
    <t>CEG</t>
  </si>
  <si>
    <t>WEC Energy Group Inc</t>
  </si>
  <si>
    <t>WEC</t>
  </si>
  <si>
    <t>Adobe Inc</t>
  </si>
  <si>
    <t>ADBE</t>
  </si>
  <si>
    <t>AES Corp/The</t>
  </si>
  <si>
    <t>AES</t>
  </si>
  <si>
    <t>Amgen Inc</t>
  </si>
  <si>
    <t>AMGN</t>
  </si>
  <si>
    <t>Apple Inc</t>
  </si>
  <si>
    <t>AAPL</t>
  </si>
  <si>
    <t>Autodesk Inc</t>
  </si>
  <si>
    <t>ADSK</t>
  </si>
  <si>
    <t>Cintas Corp</t>
  </si>
  <si>
    <t>CTAS</t>
  </si>
  <si>
    <t>Comcast Corp</t>
  </si>
  <si>
    <t>CMCSA</t>
  </si>
  <si>
    <t>Molson Coors Beverage Co</t>
  </si>
  <si>
    <t>TAP</t>
  </si>
  <si>
    <t>KLA Corp</t>
  </si>
  <si>
    <t>KLAC</t>
  </si>
  <si>
    <t>Marriott International Inc/MD</t>
  </si>
  <si>
    <t>MAR</t>
  </si>
  <si>
    <t>McCormick &amp; Co Inc/MD</t>
  </si>
  <si>
    <t>MKC</t>
  </si>
  <si>
    <t>PACCAR Inc</t>
  </si>
  <si>
    <t>PCAR</t>
  </si>
  <si>
    <t>Costco Wholesale Corp</t>
  </si>
  <si>
    <t>COST</t>
  </si>
  <si>
    <t>Stryker Corp</t>
  </si>
  <si>
    <t>SYK</t>
  </si>
  <si>
    <t>Tyson Foods Inc</t>
  </si>
  <si>
    <t>TSN</t>
  </si>
  <si>
    <t>Lamb Weston Holdings Inc</t>
  </si>
  <si>
    <t>LW</t>
  </si>
  <si>
    <t>Applied Materials Inc</t>
  </si>
  <si>
    <t>AMAT</t>
  </si>
  <si>
    <t>American Airlines Group Inc</t>
  </si>
  <si>
    <t>AAL</t>
  </si>
  <si>
    <t>Cardinal Health Inc</t>
  </si>
  <si>
    <t>CAH</t>
  </si>
  <si>
    <t>Cincinnati Financial Corp</t>
  </si>
  <si>
    <t>CINF</t>
  </si>
  <si>
    <t>Paramount Global</t>
  </si>
  <si>
    <t>PARA</t>
  </si>
  <si>
    <t>DR Horton Inc</t>
  </si>
  <si>
    <t>DHI</t>
  </si>
  <si>
    <t>Electronic Arts Inc</t>
  </si>
  <si>
    <t>EA</t>
  </si>
  <si>
    <t>Expeditors International of Washington Inc</t>
  </si>
  <si>
    <t>EXPD</t>
  </si>
  <si>
    <t>Fastenal Co</t>
  </si>
  <si>
    <t>FAST</t>
  </si>
  <si>
    <t>M&amp;T Bank Corp</t>
  </si>
  <si>
    <t>MTB</t>
  </si>
  <si>
    <t>Xcel Energy Inc</t>
  </si>
  <si>
    <t>Fiserv Inc</t>
  </si>
  <si>
    <t>Fifth Third Bancorp</t>
  </si>
  <si>
    <t>FITB</t>
  </si>
  <si>
    <t>Gilead Sciences Inc</t>
  </si>
  <si>
    <t>GILD</t>
  </si>
  <si>
    <t>Hasbro Inc</t>
  </si>
  <si>
    <t>HAS</t>
  </si>
  <si>
    <t>Huntington Bancshares Inc/OH</t>
  </si>
  <si>
    <t>HBAN</t>
  </si>
  <si>
    <t>Welltower Inc</t>
  </si>
  <si>
    <t>WELL</t>
  </si>
  <si>
    <t>Biogen Inc</t>
  </si>
  <si>
    <t>BIIB</t>
  </si>
  <si>
    <t>Northern Trust Corp</t>
  </si>
  <si>
    <t>NTRS</t>
  </si>
  <si>
    <t>Packaging Corp of America</t>
  </si>
  <si>
    <t>PKG</t>
  </si>
  <si>
    <t>Paychex Inc</t>
  </si>
  <si>
    <t>PAYX</t>
  </si>
  <si>
    <t>QUALCOMM Inc</t>
  </si>
  <si>
    <t>QCOM</t>
  </si>
  <si>
    <t>Roper Technologies Inc</t>
  </si>
  <si>
    <t>ROP</t>
  </si>
  <si>
    <t>Ross Stores Inc</t>
  </si>
  <si>
    <t>ROST</t>
  </si>
  <si>
    <t>IDEXX Laboratories Inc</t>
  </si>
  <si>
    <t>IDXX</t>
  </si>
  <si>
    <t>Starbucks Corp</t>
  </si>
  <si>
    <t>SBUX</t>
  </si>
  <si>
    <t>KeyCorp</t>
  </si>
  <si>
    <t>KEY</t>
  </si>
  <si>
    <t>Fox Corp</t>
  </si>
  <si>
    <t>FOXA</t>
  </si>
  <si>
    <t>FOX</t>
  </si>
  <si>
    <t>State Street Corp</t>
  </si>
  <si>
    <t>STT</t>
  </si>
  <si>
    <t>Norwegian Cruise Line Holdings Ltd</t>
  </si>
  <si>
    <t>NCLH</t>
  </si>
  <si>
    <t>US Bancorp</t>
  </si>
  <si>
    <t>USB</t>
  </si>
  <si>
    <t>A O Smith Corp</t>
  </si>
  <si>
    <t>AOS</t>
  </si>
  <si>
    <t>Gen Digital Inc</t>
  </si>
  <si>
    <t>GEN</t>
  </si>
  <si>
    <t>T Rowe Price Group Inc</t>
  </si>
  <si>
    <t>TROW</t>
  </si>
  <si>
    <t>Waste Management Inc</t>
  </si>
  <si>
    <t>WM</t>
  </si>
  <si>
    <t>Constellation Brands Inc</t>
  </si>
  <si>
    <t>STZ</t>
  </si>
  <si>
    <t>Invesco Ltd</t>
  </si>
  <si>
    <t>IVZ</t>
  </si>
  <si>
    <t>Linde PLC</t>
  </si>
  <si>
    <t>LIN</t>
  </si>
  <si>
    <t>Intuit Inc</t>
  </si>
  <si>
    <t>INTU</t>
  </si>
  <si>
    <t>Morgan Stanley</t>
  </si>
  <si>
    <t>Microchip Technology Inc</t>
  </si>
  <si>
    <t>MCHP</t>
  </si>
  <si>
    <t>Chubb Ltd</t>
  </si>
  <si>
    <t>CB</t>
  </si>
  <si>
    <t>Hologic Inc</t>
  </si>
  <si>
    <t>HOLX</t>
  </si>
  <si>
    <t>Citizens Financial Group Inc</t>
  </si>
  <si>
    <t>CFG</t>
  </si>
  <si>
    <t>O'Reilly Automotive Inc</t>
  </si>
  <si>
    <t>ORLY</t>
  </si>
  <si>
    <t>Allstate Corp/The</t>
  </si>
  <si>
    <t>ALL</t>
  </si>
  <si>
    <t>Equity Residential</t>
  </si>
  <si>
    <t>EQR</t>
  </si>
  <si>
    <t>BorgWarner Inc</t>
  </si>
  <si>
    <t>BWA</t>
  </si>
  <si>
    <t>Keurig Dr Pepper Inc</t>
  </si>
  <si>
    <t>KDP</t>
  </si>
  <si>
    <t>Host Hotels &amp; Resorts Inc</t>
  </si>
  <si>
    <t>HST</t>
  </si>
  <si>
    <t>Incyte Corp</t>
  </si>
  <si>
    <t>INCY</t>
  </si>
  <si>
    <t>Simon Property Group Inc</t>
  </si>
  <si>
    <t>SPG</t>
  </si>
  <si>
    <t>Eastman Chemical Co</t>
  </si>
  <si>
    <t>EMN</t>
  </si>
  <si>
    <t>AvalonBay Communities Inc</t>
  </si>
  <si>
    <t>AVB</t>
  </si>
  <si>
    <t>Prudential Financial Inc</t>
  </si>
  <si>
    <t>PRU</t>
  </si>
  <si>
    <t>United Parcel Service Inc</t>
  </si>
  <si>
    <t>UPS</t>
  </si>
  <si>
    <t>Walgreens Boots Alliance Inc</t>
  </si>
  <si>
    <t>WBA</t>
  </si>
  <si>
    <t>STERIS PLC</t>
  </si>
  <si>
    <t>STE</t>
  </si>
  <si>
    <t>McKesson Corp</t>
  </si>
  <si>
    <t>MCK</t>
  </si>
  <si>
    <t>Lockheed Martin Corp</t>
  </si>
  <si>
    <t>LMT</t>
  </si>
  <si>
    <t>Capital One Financial Corp</t>
  </si>
  <si>
    <t>COF</t>
  </si>
  <si>
    <t>Waters Corp</t>
  </si>
  <si>
    <t>WAT</t>
  </si>
  <si>
    <t>Nordson Corp</t>
  </si>
  <si>
    <t>NDSN</t>
  </si>
  <si>
    <t>Dollar Tree Inc</t>
  </si>
  <si>
    <t>DLTR</t>
  </si>
  <si>
    <t>Darden Restaurants Inc</t>
  </si>
  <si>
    <t>DRI</t>
  </si>
  <si>
    <t>Evergy Inc</t>
  </si>
  <si>
    <t>Match Group Inc</t>
  </si>
  <si>
    <t>MTCH</t>
  </si>
  <si>
    <t>Domino's Pizza Inc</t>
  </si>
  <si>
    <t>DPZ</t>
  </si>
  <si>
    <t>NVR Inc</t>
  </si>
  <si>
    <t>NVR</t>
  </si>
  <si>
    <t>NetApp Inc</t>
  </si>
  <si>
    <t>NTAP</t>
  </si>
  <si>
    <t>Old Dominion Freight Line Inc</t>
  </si>
  <si>
    <t>ODFL</t>
  </si>
  <si>
    <t>DaVita Inc</t>
  </si>
  <si>
    <t>DVA</t>
  </si>
  <si>
    <t>Hartford Financial Services Group Inc/The</t>
  </si>
  <si>
    <t>HIG</t>
  </si>
  <si>
    <t>Iron Mountain Inc</t>
  </si>
  <si>
    <t>IRM</t>
  </si>
  <si>
    <t>Estee Lauder Cos Inc/The</t>
  </si>
  <si>
    <t>EL</t>
  </si>
  <si>
    <t>Cadence Design Systems Inc</t>
  </si>
  <si>
    <t>CDNS</t>
  </si>
  <si>
    <t>Tyler Technologies Inc</t>
  </si>
  <si>
    <t>TYL</t>
  </si>
  <si>
    <t>Universal Health Services Inc</t>
  </si>
  <si>
    <t>UHS</t>
  </si>
  <si>
    <t>Skyworks Solutions Inc</t>
  </si>
  <si>
    <t>SWKS</t>
  </si>
  <si>
    <t>Quest Diagnostics Inc</t>
  </si>
  <si>
    <t>DGX</t>
  </si>
  <si>
    <t>Rockwell Automation Inc</t>
  </si>
  <si>
    <t>ROK</t>
  </si>
  <si>
    <t>Kraft Heinz Co/The</t>
  </si>
  <si>
    <t>KHC</t>
  </si>
  <si>
    <t>American Tower Corp</t>
  </si>
  <si>
    <t>AMT</t>
  </si>
  <si>
    <t>Regeneron Pharmaceuticals Inc</t>
  </si>
  <si>
    <t>REGN</t>
  </si>
  <si>
    <t>Amazon.com Inc</t>
  </si>
  <si>
    <t>AMZN</t>
  </si>
  <si>
    <t>Jack Henry &amp; Associates Inc</t>
  </si>
  <si>
    <t>JKHY</t>
  </si>
  <si>
    <t>Ralph Lauren Corp</t>
  </si>
  <si>
    <t>RL</t>
  </si>
  <si>
    <t>BXP</t>
  </si>
  <si>
    <t>Amphenol Corp</t>
  </si>
  <si>
    <t>APH</t>
  </si>
  <si>
    <t>Howmet Aerospace Inc</t>
  </si>
  <si>
    <t>HWM</t>
  </si>
  <si>
    <t>Valero Energy Corp</t>
  </si>
  <si>
    <t>VLO</t>
  </si>
  <si>
    <t>Synopsys Inc</t>
  </si>
  <si>
    <t>SNPS</t>
  </si>
  <si>
    <t>Etsy Inc</t>
  </si>
  <si>
    <t>ETSY</t>
  </si>
  <si>
    <t>CH Robinson Worldwide Inc</t>
  </si>
  <si>
    <t>CHRW</t>
  </si>
  <si>
    <t>Accenture PLC</t>
  </si>
  <si>
    <t>ACN</t>
  </si>
  <si>
    <t>TransDigm Group Inc</t>
  </si>
  <si>
    <t>TDG</t>
  </si>
  <si>
    <t>Yum! Brands Inc</t>
  </si>
  <si>
    <t>YUM</t>
  </si>
  <si>
    <t>Prologis Inc</t>
  </si>
  <si>
    <t>PLD</t>
  </si>
  <si>
    <t>FirstEnergy Corp</t>
  </si>
  <si>
    <t>FE</t>
  </si>
  <si>
    <t>VeriSign Inc</t>
  </si>
  <si>
    <t>VRSN</t>
  </si>
  <si>
    <t>Quanta Services Inc</t>
  </si>
  <si>
    <t>PWR</t>
  </si>
  <si>
    <t>Henry Schein Inc</t>
  </si>
  <si>
    <t>HSIC</t>
  </si>
  <si>
    <t>Ameren Corp</t>
  </si>
  <si>
    <t>ANSYS Inc</t>
  </si>
  <si>
    <t>ANSS</t>
  </si>
  <si>
    <t>FactSet Research Systems Inc</t>
  </si>
  <si>
    <t>FDS</t>
  </si>
  <si>
    <t>NVIDIA Corp</t>
  </si>
  <si>
    <t>NVDA</t>
  </si>
  <si>
    <t>Cognizant Technology Solutions Corp</t>
  </si>
  <si>
    <t>CTSH</t>
  </si>
  <si>
    <t>Intuitive Surgical Inc</t>
  </si>
  <si>
    <t>ISRG</t>
  </si>
  <si>
    <t>Take-Two Interactive Software Inc</t>
  </si>
  <si>
    <t>TTWO</t>
  </si>
  <si>
    <t>Republic Services Inc</t>
  </si>
  <si>
    <t>RSG</t>
  </si>
  <si>
    <t>eBay Inc</t>
  </si>
  <si>
    <t>EBAY</t>
  </si>
  <si>
    <t>Goldman Sachs Group Inc/The</t>
  </si>
  <si>
    <t>GS</t>
  </si>
  <si>
    <t>SBA Communications Corp</t>
  </si>
  <si>
    <t>SBAC</t>
  </si>
  <si>
    <t>SRE</t>
  </si>
  <si>
    <t>Moody's Corp</t>
  </si>
  <si>
    <t>MCO</t>
  </si>
  <si>
    <t>ON Semiconductor Corp</t>
  </si>
  <si>
    <t>ON</t>
  </si>
  <si>
    <t>Booking Holdings Inc</t>
  </si>
  <si>
    <t>BKNG</t>
  </si>
  <si>
    <t>F5 Inc</t>
  </si>
  <si>
    <t>FFIV</t>
  </si>
  <si>
    <t>Akamai Technologies Inc</t>
  </si>
  <si>
    <t>AKAM</t>
  </si>
  <si>
    <t>Charles River Laboratories International Inc</t>
  </si>
  <si>
    <t>CRL</t>
  </si>
  <si>
    <t>MarketAxess Holdings Inc</t>
  </si>
  <si>
    <t>MKTX</t>
  </si>
  <si>
    <t>Devon Energy Corp</t>
  </si>
  <si>
    <t>DVN</t>
  </si>
  <si>
    <t>Bio-Techne Corp</t>
  </si>
  <si>
    <t>TECH</t>
  </si>
  <si>
    <t>Alphabet Inc</t>
  </si>
  <si>
    <t>GOOGL</t>
  </si>
  <si>
    <t>Teleflex Inc</t>
  </si>
  <si>
    <t>TFX</t>
  </si>
  <si>
    <t>Allegion plc</t>
  </si>
  <si>
    <t>ALLE</t>
  </si>
  <si>
    <t>Netflix Inc</t>
  </si>
  <si>
    <t>NFLX</t>
  </si>
  <si>
    <t>Warner Bros Discovery Inc</t>
  </si>
  <si>
    <t>WBD</t>
  </si>
  <si>
    <t>Agilent Technologies Inc</t>
  </si>
  <si>
    <t>A</t>
  </si>
  <si>
    <t>Trimble Inc</t>
  </si>
  <si>
    <t>TRMB</t>
  </si>
  <si>
    <t>Elevance Health Inc</t>
  </si>
  <si>
    <t>ELV</t>
  </si>
  <si>
    <t>CME Group Inc</t>
  </si>
  <si>
    <t>CME</t>
  </si>
  <si>
    <t>Juniper Networks Inc</t>
  </si>
  <si>
    <t>JNPR</t>
  </si>
  <si>
    <t>BlackRock Inc</t>
  </si>
  <si>
    <t>BLK</t>
  </si>
  <si>
    <t>DTE Energy Co</t>
  </si>
  <si>
    <t>DTE</t>
  </si>
  <si>
    <t>Celanese Corp</t>
  </si>
  <si>
    <t>CE</t>
  </si>
  <si>
    <t>Nasdaq Inc</t>
  </si>
  <si>
    <t>NDAQ</t>
  </si>
  <si>
    <t>Philip Morris International Inc</t>
  </si>
  <si>
    <t>PM</t>
  </si>
  <si>
    <t>Ingersoll Rand Inc</t>
  </si>
  <si>
    <t>IR</t>
  </si>
  <si>
    <t>Salesforce Inc</t>
  </si>
  <si>
    <t>CRM</t>
  </si>
  <si>
    <t>Huntington Ingalls Industries Inc</t>
  </si>
  <si>
    <t>HII</t>
  </si>
  <si>
    <t>MetLife Inc</t>
  </si>
  <si>
    <t>MET</t>
  </si>
  <si>
    <t>Tapestry Inc</t>
  </si>
  <si>
    <t>TPR</t>
  </si>
  <si>
    <t>CSX Corp</t>
  </si>
  <si>
    <t>CSX</t>
  </si>
  <si>
    <t>Edwards Lifesciences Corp</t>
  </si>
  <si>
    <t>EW</t>
  </si>
  <si>
    <t>Ameriprise Financial Inc</t>
  </si>
  <si>
    <t>AMP</t>
  </si>
  <si>
    <t>Zebra Technologies Corp</t>
  </si>
  <si>
    <t>ZBRA</t>
  </si>
  <si>
    <t>Zimmer Biomet Holdings Inc</t>
  </si>
  <si>
    <t>ZBH</t>
  </si>
  <si>
    <t>Camden Property Trust</t>
  </si>
  <si>
    <t>CPT</t>
  </si>
  <si>
    <t>CBRE Group Inc</t>
  </si>
  <si>
    <t>CBRE</t>
  </si>
  <si>
    <t>Mastercard Inc</t>
  </si>
  <si>
    <t>MA</t>
  </si>
  <si>
    <t>CarMax Inc</t>
  </si>
  <si>
    <t>KMX</t>
  </si>
  <si>
    <t>Intercontinental Exchange Inc</t>
  </si>
  <si>
    <t>ICE</t>
  </si>
  <si>
    <t>Fidelity National Information Services Inc</t>
  </si>
  <si>
    <t>FIS</t>
  </si>
  <si>
    <t>Chipotle Mexican Grill Inc</t>
  </si>
  <si>
    <t>CMG</t>
  </si>
  <si>
    <t>Wynn Resorts Ltd</t>
  </si>
  <si>
    <t>WYNN</t>
  </si>
  <si>
    <t>Live Nation Entertainment Inc</t>
  </si>
  <si>
    <t>LYV</t>
  </si>
  <si>
    <t>Assurant Inc</t>
  </si>
  <si>
    <t>AIZ</t>
  </si>
  <si>
    <t>NRG Energy Inc</t>
  </si>
  <si>
    <t>NRG</t>
  </si>
  <si>
    <t>Monster Beverage Corp</t>
  </si>
  <si>
    <t>MNST</t>
  </si>
  <si>
    <t>Regions Financial Corp</t>
  </si>
  <si>
    <t>RF</t>
  </si>
  <si>
    <t>Baker Hughes Co</t>
  </si>
  <si>
    <t>BKR</t>
  </si>
  <si>
    <t>Mosaic Co/The</t>
  </si>
  <si>
    <t>MOS</t>
  </si>
  <si>
    <t>Expedia Group Inc</t>
  </si>
  <si>
    <t>EXPE</t>
  </si>
  <si>
    <t>CF Industries Holdings Inc</t>
  </si>
  <si>
    <t>CF</t>
  </si>
  <si>
    <t>APA Corp</t>
  </si>
  <si>
    <t>APA</t>
  </si>
  <si>
    <t>Leidos Holdings Inc</t>
  </si>
  <si>
    <t>LDOS</t>
  </si>
  <si>
    <t>GOOG</t>
  </si>
  <si>
    <t>First Solar Inc</t>
  </si>
  <si>
    <t>FSLR</t>
  </si>
  <si>
    <t>Cooper Cos Inc/The</t>
  </si>
  <si>
    <t>COO</t>
  </si>
  <si>
    <t>TE Connectivity Ltd</t>
  </si>
  <si>
    <t>TEL</t>
  </si>
  <si>
    <t>Discover Financial Services</t>
  </si>
  <si>
    <t>DFS</t>
  </si>
  <si>
    <t>Visa Inc</t>
  </si>
  <si>
    <t>V</t>
  </si>
  <si>
    <t>Mid-America Apartment Communities Inc</t>
  </si>
  <si>
    <t>MAA</t>
  </si>
  <si>
    <t>Xylem Inc/NY</t>
  </si>
  <si>
    <t>XYL</t>
  </si>
  <si>
    <t>Marathon Petroleum Corp</t>
  </si>
  <si>
    <t>MPC</t>
  </si>
  <si>
    <t>Advanced Micro Devices Inc</t>
  </si>
  <si>
    <t>AMD</t>
  </si>
  <si>
    <t>Tractor Supply Co</t>
  </si>
  <si>
    <t>TSCO</t>
  </si>
  <si>
    <t>ResMed Inc</t>
  </si>
  <si>
    <t>RMD</t>
  </si>
  <si>
    <t>Mettler-Toledo International Inc</t>
  </si>
  <si>
    <t>MTD</t>
  </si>
  <si>
    <t>Jacobs Solutions Inc</t>
  </si>
  <si>
    <t>J</t>
  </si>
  <si>
    <t>Copart Inc</t>
  </si>
  <si>
    <t>CPRT</t>
  </si>
  <si>
    <t>VICI Properties Inc</t>
  </si>
  <si>
    <t>VICI</t>
  </si>
  <si>
    <t>Fortinet Inc</t>
  </si>
  <si>
    <t>FTNT</t>
  </si>
  <si>
    <t>Albemarle Corp</t>
  </si>
  <si>
    <t>ALB</t>
  </si>
  <si>
    <t>Moderna Inc</t>
  </si>
  <si>
    <t>MRNA</t>
  </si>
  <si>
    <t>Essex Property Trust Inc</t>
  </si>
  <si>
    <t>ESS</t>
  </si>
  <si>
    <t>CoStar Group Inc</t>
  </si>
  <si>
    <t>CSGP</t>
  </si>
  <si>
    <t>Realty Income Corp</t>
  </si>
  <si>
    <t>O</t>
  </si>
  <si>
    <t>Westrock Co</t>
  </si>
  <si>
    <t>WRK</t>
  </si>
  <si>
    <t>Westinghouse Air Brake Technologies Corp</t>
  </si>
  <si>
    <t>WAB</t>
  </si>
  <si>
    <t>Pool Corp</t>
  </si>
  <si>
    <t>POOL</t>
  </si>
  <si>
    <t>Western Digital Corp</t>
  </si>
  <si>
    <t>WDC</t>
  </si>
  <si>
    <t>PepsiCo Inc</t>
  </si>
  <si>
    <t>PEP</t>
  </si>
  <si>
    <t>Diamondback Energy Inc</t>
  </si>
  <si>
    <t>FANG</t>
  </si>
  <si>
    <t>ServiceNow Inc</t>
  </si>
  <si>
    <t>NOW</t>
  </si>
  <si>
    <t>Church &amp; Dwight Co Inc</t>
  </si>
  <si>
    <t>CHD</t>
  </si>
  <si>
    <t>Federal Realty Investment Trust</t>
  </si>
  <si>
    <t>FRT</t>
  </si>
  <si>
    <t>MGM Resorts International</t>
  </si>
  <si>
    <t>MGM</t>
  </si>
  <si>
    <t>American Electric Power Co Inc</t>
  </si>
  <si>
    <t>Invitation Homes Inc</t>
  </si>
  <si>
    <t>INVH</t>
  </si>
  <si>
    <t>PTC Inc</t>
  </si>
  <si>
    <t>PTC</t>
  </si>
  <si>
    <t>JB Hunt Transport Services Inc</t>
  </si>
  <si>
    <t>JBHT</t>
  </si>
  <si>
    <t>Lam Research Corp</t>
  </si>
  <si>
    <t>LRCX</t>
  </si>
  <si>
    <t>Mohawk Industries Inc</t>
  </si>
  <si>
    <t>MHK</t>
  </si>
  <si>
    <t>Pentair PLC</t>
  </si>
  <si>
    <t>PNR</t>
  </si>
  <si>
    <t>Vertex Pharmaceuticals Inc</t>
  </si>
  <si>
    <t>VRTX</t>
  </si>
  <si>
    <t>Amcor PLC</t>
  </si>
  <si>
    <t>AMCR</t>
  </si>
  <si>
    <t>Meta Platforms Inc</t>
  </si>
  <si>
    <t>META</t>
  </si>
  <si>
    <t>T-Mobile US Inc</t>
  </si>
  <si>
    <t>TMUS</t>
  </si>
  <si>
    <t>United Rentals Inc</t>
  </si>
  <si>
    <t>URI</t>
  </si>
  <si>
    <t>Alexandria Real Estate Equities Inc</t>
  </si>
  <si>
    <t>ARE</t>
  </si>
  <si>
    <t>Honeywell International Inc</t>
  </si>
  <si>
    <t>HON</t>
  </si>
  <si>
    <t>Delta Air Lines Inc</t>
  </si>
  <si>
    <t>DAL</t>
  </si>
  <si>
    <t>United Airlines Holdings Inc</t>
  </si>
  <si>
    <t>UAL</t>
  </si>
  <si>
    <t>Seagate Technology Holdings PLC</t>
  </si>
  <si>
    <t>STX</t>
  </si>
  <si>
    <t>News Corp</t>
  </si>
  <si>
    <t>NWS</t>
  </si>
  <si>
    <t>Centene Corp</t>
  </si>
  <si>
    <t>CNC</t>
  </si>
  <si>
    <t>Martin Marietta Materials Inc</t>
  </si>
  <si>
    <t>MLM</t>
  </si>
  <si>
    <t>Teradyne Inc</t>
  </si>
  <si>
    <t>TER</t>
  </si>
  <si>
    <t>PayPal Holdings Inc</t>
  </si>
  <si>
    <t>PYPL</t>
  </si>
  <si>
    <t>Tesla Inc</t>
  </si>
  <si>
    <t>TSLA</t>
  </si>
  <si>
    <t>Arch Capital Group Ltd</t>
  </si>
  <si>
    <t>ACGL</t>
  </si>
  <si>
    <t>Dow Inc</t>
  </si>
  <si>
    <t>DOW</t>
  </si>
  <si>
    <t>Teledyne Technologies Inc</t>
  </si>
  <si>
    <t>TDY</t>
  </si>
  <si>
    <t>NWSA</t>
  </si>
  <si>
    <t>Exelon Corp</t>
  </si>
  <si>
    <t>EXC</t>
  </si>
  <si>
    <t>Global Payments Inc</t>
  </si>
  <si>
    <t>GPN</t>
  </si>
  <si>
    <t>Crown Castle Inc</t>
  </si>
  <si>
    <t>CCI</t>
  </si>
  <si>
    <t>Aptiv PLC</t>
  </si>
  <si>
    <t>APTV</t>
  </si>
  <si>
    <t>Align Technology Inc</t>
  </si>
  <si>
    <t>ALGN</t>
  </si>
  <si>
    <t>Targa Resources Corp</t>
  </si>
  <si>
    <t>TRGP</t>
  </si>
  <si>
    <t>LKQ Corp</t>
  </si>
  <si>
    <t>LKQ</t>
  </si>
  <si>
    <t>Digital Realty Trust Inc</t>
  </si>
  <si>
    <t>DLR</t>
  </si>
  <si>
    <t>Equinix Inc</t>
  </si>
  <si>
    <t>EQIX</t>
  </si>
  <si>
    <t>Molina Healthcare Inc</t>
  </si>
  <si>
    <t>MOH</t>
  </si>
  <si>
    <t>Las Vegas Sands Corp</t>
  </si>
  <si>
    <t>LVS</t>
  </si>
  <si>
    <t>[1] Equals sum of Col. [9]</t>
  </si>
  <si>
    <t>[2] Equals sum of Col. [11]</t>
  </si>
  <si>
    <t>[3] Equals ([1] x (1 + (0.5 x [2]))) + [2]</t>
  </si>
  <si>
    <t>[6] Equals [4] x [5]</t>
  </si>
  <si>
    <t>[7] Equals weight in S&amp;P 500 based on market capitalization [6] if Growth Rate &gt;0% and ≤20%</t>
  </si>
  <si>
    <t>[9] Equals [7] x [8]</t>
  </si>
  <si>
    <t>[11] Equals [7] x [10]</t>
  </si>
  <si>
    <t>HISTORICAL VALUE LINE BETA</t>
  </si>
  <si>
    <t>NMF</t>
  </si>
  <si>
    <t>[1] Value Line, dated December 26, 2013.</t>
  </si>
  <si>
    <t>[2] Value Line, dated December 31, 2014.</t>
  </si>
  <si>
    <t>[3] Value Line, dated December 30, 2015.</t>
  </si>
  <si>
    <t>[4] Value Line, dated December 29, 2016.</t>
  </si>
  <si>
    <t>[5] Value Line, dated December 28, 2017.</t>
  </si>
  <si>
    <t>[6] Value Line, dated December 27, 2018.</t>
  </si>
  <si>
    <t>[7] Value Line, dated December 26, 2019.</t>
  </si>
  <si>
    <t>[8] Value Line, dated December 30, 2020.</t>
  </si>
  <si>
    <t>[9] Value Line, dated December 29, 2021.</t>
  </si>
  <si>
    <t>GEHC</t>
  </si>
  <si>
    <t>GE HealthCare Technologies Inc</t>
  </si>
  <si>
    <t>Current 30-day average of 30-year Treasury bond yield</t>
  </si>
  <si>
    <t>Recommended ROE</t>
  </si>
  <si>
    <t>Atmos Energy Corporation</t>
  </si>
  <si>
    <t>NiSource Inc.</t>
  </si>
  <si>
    <t>Northwest Natural Gas Company</t>
  </si>
  <si>
    <t>NWN</t>
  </si>
  <si>
    <t>ONE Gas, Inc.</t>
  </si>
  <si>
    <t>OGS</t>
  </si>
  <si>
    <t>Spire, Inc.</t>
  </si>
  <si>
    <t>SR</t>
  </si>
  <si>
    <t>% Regulated Natural Gas Operating Income &gt; 60%</t>
  </si>
  <si>
    <t>[5] Value Line</t>
  </si>
  <si>
    <t>NA</t>
  </si>
  <si>
    <t xml:space="preserve">[7] See notes [4], [5] &amp; [6] </t>
  </si>
  <si>
    <t>Axon Enterprise Inc</t>
  </si>
  <si>
    <t>AXON</t>
  </si>
  <si>
    <t>Becton Dickinson &amp; Co</t>
  </si>
  <si>
    <t>BG</t>
  </si>
  <si>
    <t>Cigna Group/The</t>
  </si>
  <si>
    <t>Fair Isaac Corp</t>
  </si>
  <si>
    <t>FICO</t>
  </si>
  <si>
    <t>Insulet Corp</t>
  </si>
  <si>
    <t>PODD</t>
  </si>
  <si>
    <t>Revvity Inc</t>
  </si>
  <si>
    <t>RVTY</t>
  </si>
  <si>
    <t>Schlumberger NV</t>
  </si>
  <si>
    <t xml:space="preserve">Constant Growth DCF </t>
  </si>
  <si>
    <t>Mean Low</t>
  </si>
  <si>
    <t>Mean High</t>
  </si>
  <si>
    <t>Median Low</t>
  </si>
  <si>
    <t>Median High</t>
  </si>
  <si>
    <t>CAPM</t>
  </si>
  <si>
    <t>Current 30-day Average Treasury Bond Yield</t>
  </si>
  <si>
    <t>Near-Term Blue Chip Forecast Yield</t>
  </si>
  <si>
    <t>Long-Term Blue Chip Forecast Yield</t>
  </si>
  <si>
    <t>ECAPM</t>
  </si>
  <si>
    <t xml:space="preserve">Risk Premium </t>
  </si>
  <si>
    <t>Risk Premium Results:</t>
  </si>
  <si>
    <t>Constant Growth Mean DCF</t>
  </si>
  <si>
    <t>Constant Growth Median DCF</t>
  </si>
  <si>
    <t>Covered by More Than 1 Analyst</t>
  </si>
  <si>
    <t>[1] Source: Bloomberg Professional</t>
  </si>
  <si>
    <t>[2] Source: Bloomberg Professional</t>
  </si>
  <si>
    <t>[3] Source: Yahoo! Finance and Zacks</t>
  </si>
  <si>
    <t>[4] Source: Yahoo! Finance, Value Line Investment Survey, and Zacks</t>
  </si>
  <si>
    <t>[7] S&amp;P Capital IQ Pro; Financial News Releases</t>
  </si>
  <si>
    <t>[3] Source: Market Return</t>
  </si>
  <si>
    <t xml:space="preserve">PROXY GROUP SCREENING DATA AND RESULTS </t>
  </si>
  <si>
    <t>[2] Source: Value Line</t>
  </si>
  <si>
    <t>Bloomberg</t>
  </si>
  <si>
    <t>RTX Corp</t>
  </si>
  <si>
    <t>FI</t>
  </si>
  <si>
    <t>Sempra</t>
  </si>
  <si>
    <t>Palo Alto Networks Inc</t>
  </si>
  <si>
    <t>PANW</t>
  </si>
  <si>
    <t>Everest Group Ltd</t>
  </si>
  <si>
    <t>EG</t>
  </si>
  <si>
    <t>Zoetis Inc</t>
  </si>
  <si>
    <t>ZTS</t>
  </si>
  <si>
    <t>n/a</t>
  </si>
  <si>
    <t>Average Authorized Natural Gas ROE</t>
  </si>
  <si>
    <t>U.S. Govt.</t>
  </si>
  <si>
    <t>30-year</t>
  </si>
  <si>
    <t>[2] Source: S&amp;P Capital IQ Pro, quarterly bond yields are the average of each trading day in the quarter</t>
  </si>
  <si>
    <t>% Regulated Operating Income &gt; 70%</t>
  </si>
  <si>
    <t>Airbnb Inc</t>
  </si>
  <si>
    <t>ABNB</t>
  </si>
  <si>
    <t>Kellanova</t>
  </si>
  <si>
    <t>Blackstone Inc</t>
  </si>
  <si>
    <t>BX</t>
  </si>
  <si>
    <t>Cencora Inc</t>
  </si>
  <si>
    <t>COR</t>
  </si>
  <si>
    <t>Kenvue Inc</t>
  </si>
  <si>
    <t>KVUE</t>
  </si>
  <si>
    <t>[12]</t>
  </si>
  <si>
    <t>Lululemon Athletica Inc</t>
  </si>
  <si>
    <t>LULU</t>
  </si>
  <si>
    <t>Hubbell Inc</t>
  </si>
  <si>
    <t>HUBB</t>
  </si>
  <si>
    <t>Veralto Corp</t>
  </si>
  <si>
    <t>VLTO</t>
  </si>
  <si>
    <t>Bunge Global SA</t>
  </si>
  <si>
    <t>SUMMARY OF COE RESULTS</t>
  </si>
  <si>
    <t>[1] Blue Chip Financial Forecasts, Vol. 43, No. 6, May 31, 2024, at 14</t>
  </si>
  <si>
    <t>[12] Average ([1] - [11])</t>
  </si>
  <si>
    <t>Solventum Corp</t>
  </si>
  <si>
    <t>SOLV</t>
  </si>
  <si>
    <t>Corpay Inc</t>
  </si>
  <si>
    <t>CPAY</t>
  </si>
  <si>
    <t>Super Micro Computer Inc</t>
  </si>
  <si>
    <t>SMCI</t>
  </si>
  <si>
    <t>Dayforce Inc</t>
  </si>
  <si>
    <t>DAY</t>
  </si>
  <si>
    <t>Builders FirstSource Inc</t>
  </si>
  <si>
    <t>BLDR</t>
  </si>
  <si>
    <t>DOC</t>
  </si>
  <si>
    <t>Uber Technologies Inc</t>
  </si>
  <si>
    <t>UBER</t>
  </si>
  <si>
    <t>Labcorp Holdings Inc</t>
  </si>
  <si>
    <t>Vistra Corp</t>
  </si>
  <si>
    <t>VST</t>
  </si>
  <si>
    <t>Jabil Inc</t>
  </si>
  <si>
    <t>JBL</t>
  </si>
  <si>
    <t>GE Vernova Inc</t>
  </si>
  <si>
    <t>GEV</t>
  </si>
  <si>
    <t>Deckers Outdoor Corp</t>
  </si>
  <si>
    <t>DECK</t>
  </si>
  <si>
    <t>[6] Source: Blue Chip Financial Forecasts, Vol. 43, No. 6, May 31, 2024, at 14</t>
  </si>
  <si>
    <t>[5] Form 10-K's for 2023, 2022, and 2021</t>
  </si>
  <si>
    <t>[6] Form 10-K's for 2023, 2022, and 2022</t>
  </si>
  <si>
    <t>[1] Blue Chip Financial Forecasts, Vol. 43, No. 7, June 30, 2024, at 2</t>
  </si>
  <si>
    <t>GoDaddy Inc</t>
  </si>
  <si>
    <t>GDDY</t>
  </si>
  <si>
    <t>Crowdstrike Holdings Inc</t>
  </si>
  <si>
    <t>CRWD</t>
  </si>
  <si>
    <t>BXP Inc</t>
  </si>
  <si>
    <t>KKR &amp; Co Inc</t>
  </si>
  <si>
    <t>KKR</t>
  </si>
  <si>
    <t>[1] Source: Regulatory Research Associates, rate cases through June 30, 2024</t>
  </si>
  <si>
    <t>[4] Source: S&amp;P Capital IQ Pro, 30-day average as of June 30, 2024</t>
  </si>
  <si>
    <t>[5] Source: Blue Chip Financial Forecasts, Vol. 43, No. 7, June 30, 2024, at 2</t>
  </si>
  <si>
    <t>SIZE PREMIUM CALCULATION</t>
  </si>
  <si>
    <t>($ billions)</t>
  </si>
  <si>
    <t>ONE Gas Inc.</t>
  </si>
  <si>
    <t>of Largest</t>
  </si>
  <si>
    <t>Size</t>
  </si>
  <si>
    <t>Breakdown of Deciles 1-10</t>
  </si>
  <si>
    <t>($ millions)</t>
  </si>
  <si>
    <t>1-Largest</t>
  </si>
  <si>
    <t>10-Smallest</t>
  </si>
  <si>
    <t>Proxy Group Median</t>
  </si>
  <si>
    <t>($ Millions)</t>
  </si>
  <si>
    <t>Cap. Ex. /</t>
  </si>
  <si>
    <t>Net Plant</t>
  </si>
  <si>
    <t>Capital Spending per Share</t>
  </si>
  <si>
    <t>Common Shares Outstanding</t>
  </si>
  <si>
    <t>Capital Expenditures</t>
  </si>
  <si>
    <t>Capital Expenditures [8]</t>
  </si>
  <si>
    <t>Net Plant [9]</t>
  </si>
  <si>
    <t xml:space="preserve">[7] Equals (Column [2] + [3] + [4] + [5] + [6]) /  Column [1] </t>
  </si>
  <si>
    <t>For Chart</t>
  </si>
  <si>
    <t>X- Axis</t>
  </si>
  <si>
    <t>REGULATORY RISK ASSESSMENT</t>
  </si>
  <si>
    <t>Operating Subsidiary</t>
  </si>
  <si>
    <t>Test Year</t>
  </si>
  <si>
    <t>Kansas</t>
  </si>
  <si>
    <t>Gas</t>
  </si>
  <si>
    <t>Historical</t>
  </si>
  <si>
    <t>Partial</t>
  </si>
  <si>
    <t>Kentucky</t>
  </si>
  <si>
    <t>Fully Forecast</t>
  </si>
  <si>
    <t>Louisiana</t>
  </si>
  <si>
    <t>Mississippi</t>
  </si>
  <si>
    <t>Partially Forecast</t>
  </si>
  <si>
    <t>Tennessee</t>
  </si>
  <si>
    <t>Texas</t>
  </si>
  <si>
    <t>Northern Indiana Public Service Co.</t>
  </si>
  <si>
    <t>Indiana</t>
  </si>
  <si>
    <t>Electric</t>
  </si>
  <si>
    <t>Columbia Gas of Maryland Inc.</t>
  </si>
  <si>
    <t>Maryland</t>
  </si>
  <si>
    <t>Columbia Gas of Ohio Inc.</t>
  </si>
  <si>
    <t>Ohio</t>
  </si>
  <si>
    <t>Columbia Gas of Pennsylvania Inc.</t>
  </si>
  <si>
    <t>Pennsylvania</t>
  </si>
  <si>
    <t>Columbia Gas of Virginia Inc.</t>
  </si>
  <si>
    <t>Virginia</t>
  </si>
  <si>
    <t>Northwest Natural Gas Co.</t>
  </si>
  <si>
    <t>Oregon</t>
  </si>
  <si>
    <t>Washington</t>
  </si>
  <si>
    <t>Kansas Gas Service Co.</t>
  </si>
  <si>
    <t>Oklahoma Natural Gas Co.</t>
  </si>
  <si>
    <t>Oklahoma</t>
  </si>
  <si>
    <t>Texas Gas Service Co. Inc.</t>
  </si>
  <si>
    <t>Spire Alabama Inc.</t>
  </si>
  <si>
    <t>Alabama</t>
  </si>
  <si>
    <t>Spire Gulf Inc.</t>
  </si>
  <si>
    <t>Missouri</t>
  </si>
  <si>
    <t>Proxy Group Totals</t>
  </si>
  <si>
    <t>FLOTATION COST ADJUSTMENT</t>
  </si>
  <si>
    <t>Date [i]</t>
  </si>
  <si>
    <t>Shares Issued
(000)</t>
  </si>
  <si>
    <t>Offering Price</t>
  </si>
  <si>
    <t>Under-
writing Discount [ii]</t>
  </si>
  <si>
    <t xml:space="preserve">Offering Expense ($000) </t>
  </si>
  <si>
    <t>Net Proceeds Per Share</t>
  </si>
  <si>
    <t>Total Flotation Costs
($000)</t>
  </si>
  <si>
    <t>Gross Equity Issue Before Costs ($000)</t>
  </si>
  <si>
    <t>Net Proceeds ($000)</t>
  </si>
  <si>
    <t>Flotation Cost Percentage</t>
  </si>
  <si>
    <t>CenterPoint Energy, Inc</t>
  </si>
  <si>
    <t>WEIGHTED AVERAGE FLOTATION COSTS</t>
  </si>
  <si>
    <t>[i] Offering Completion Date</t>
  </si>
  <si>
    <t>[ii] Underwriting discount was calculated as the market price minus the offering price when not explicitly given in the prospectus.</t>
  </si>
  <si>
    <t>to determine the cost of equity.  Using the formulas shown previously in my testimony, the Constant Growth DCF calculation is modified as follows to accommodate an adjustment for flotation costs:</t>
  </si>
  <si>
    <t>[13]</t>
  </si>
  <si>
    <t>[14]</t>
  </si>
  <si>
    <t>[15]</t>
  </si>
  <si>
    <t>[16]</t>
  </si>
  <si>
    <t>[17]</t>
  </si>
  <si>
    <t>[18]</t>
  </si>
  <si>
    <t>[19]</t>
  </si>
  <si>
    <t>[20]</t>
  </si>
  <si>
    <t>[21]</t>
  </si>
  <si>
    <t>Stock Price</t>
  </si>
  <si>
    <t>Expected Dividend Yield Adjusted for Flotation Costs</t>
  </si>
  <si>
    <t>Value Line Earnings Growth</t>
  </si>
  <si>
    <t>Yahoo! Finance Earnings Growth</t>
  </si>
  <si>
    <t>Zacks Earnings Growth</t>
  </si>
  <si>
    <t>Average Earnings Growth</t>
  </si>
  <si>
    <t>ROE Adjusted for Flotation Costs</t>
  </si>
  <si>
    <t>[5] Equals [8]/[1]</t>
  </si>
  <si>
    <t>[6] Equals [4] + ([1] x [3])</t>
  </si>
  <si>
    <t>[7] Equals [1] x [2]</t>
  </si>
  <si>
    <t>[8] Equals [7] - [6]</t>
  </si>
  <si>
    <t>[9] Equals [6] / [7]</t>
  </si>
  <si>
    <t>[10] Equals average [6] / average [7]</t>
  </si>
  <si>
    <t>[11] Source: Bloomberg Professional</t>
  </si>
  <si>
    <t>[13] Equals [11] / [12]</t>
  </si>
  <si>
    <t>[14] Equals [13] x (1 + 0.5 x [19])</t>
  </si>
  <si>
    <t>[15] Equals [14] / (1 − Flotation Cost)</t>
  </si>
  <si>
    <t>[16] Source: Value Line</t>
  </si>
  <si>
    <t>[17] Source: Yahoo! Finance</t>
  </si>
  <si>
    <t>[18] Source: Zacks</t>
  </si>
  <si>
    <t>[19] Equals Average ([16], [17], [18])</t>
  </si>
  <si>
    <t>[20] Equals [14] + [19]</t>
  </si>
  <si>
    <t>[21] Equals [15] + [19]</t>
  </si>
  <si>
    <t>CAPITAL STRUCTURE ANALYSIS</t>
  </si>
  <si>
    <t>COMMON EQUITY RATIO [1]</t>
  </si>
  <si>
    <t>LONG-TERM DEBT RATIO [1]</t>
  </si>
  <si>
    <t>PREFERRED EQUITY RATIO [1]</t>
  </si>
  <si>
    <t>SHORT-TERM DEBT RATIO [1]</t>
  </si>
  <si>
    <t>Proxy Group Company</t>
  </si>
  <si>
    <t>One Gas Inc.</t>
  </si>
  <si>
    <t>Spire Inc.</t>
  </si>
  <si>
    <t>Proxy Group</t>
  </si>
  <si>
    <t>MEAN</t>
  </si>
  <si>
    <t>HIGH</t>
  </si>
  <si>
    <t>SHORT-TERM DEBT RATIO - UTILITY OPERATING COMPANIES</t>
  </si>
  <si>
    <t>Company Name</t>
  </si>
  <si>
    <t>Columbia Gas of Kentucky, Inc.</t>
  </si>
  <si>
    <t>Columbia Gas of Maryland, Inc.</t>
  </si>
  <si>
    <t>Columbia Gas of Ohio, Inc.</t>
  </si>
  <si>
    <t>Columbia Gas of Pennsylvania, Inc.</t>
  </si>
  <si>
    <t>Columbia Gas of Virginia, Inc.</t>
  </si>
  <si>
    <t>Northern Indiana Public Service Company LLC</t>
  </si>
  <si>
    <t>Kansas Gas Service Company, Inc.</t>
  </si>
  <si>
    <t>Oklahoma Natural Gas Company</t>
  </si>
  <si>
    <t>Texas Gas Service Company, Inc.</t>
  </si>
  <si>
    <t>Spire Mississippi Inc.</t>
  </si>
  <si>
    <t>Spire Missouri Inc.</t>
  </si>
  <si>
    <t>[1] Ratios are weighted by actual common capital, preferred equity, short-term debt and long-term debt of Operating Subsidiaries.</t>
  </si>
  <si>
    <t>Kroll Cost of Capital Navigator -- Size Premium</t>
  </si>
  <si>
    <t>[1] - [6] Source: Value Line, dated May 24, 2024</t>
  </si>
  <si>
    <t>[12] Source: Bloomberg Professional, equals 30-day average as of June 30, 2024</t>
  </si>
  <si>
    <t>2024-28</t>
  </si>
  <si>
    <t>Revenue Stabilization</t>
  </si>
  <si>
    <t>Formula-</t>
  </si>
  <si>
    <t>Straight Fixed</t>
  </si>
  <si>
    <t>Utility</t>
  </si>
  <si>
    <t>Revenue</t>
  </si>
  <si>
    <t>Based</t>
  </si>
  <si>
    <t>Variable</t>
  </si>
  <si>
    <t>Overall Revenue</t>
  </si>
  <si>
    <t>Capital Cost</t>
  </si>
  <si>
    <t>State</t>
  </si>
  <si>
    <t>Type</t>
  </si>
  <si>
    <t>Convention</t>
  </si>
  <si>
    <t>Decoupling</t>
  </si>
  <si>
    <t>Rates</t>
  </si>
  <si>
    <t>Rate Design</t>
  </si>
  <si>
    <t>Stabilization</t>
  </si>
  <si>
    <t>Recovery</t>
  </si>
  <si>
    <t>Columbia Gas of Kentucky Inc.</t>
  </si>
  <si>
    <t>% Forecast</t>
  </si>
  <si>
    <t>% Yes</t>
  </si>
  <si>
    <t xml:space="preserve">[2] S&amp;P Global Market Intelligence, Regulatory Focus: Adjustment Clauses, dated July 18, 2022. Operating subsidiaries not covered in this report were excluded from this exhibit. </t>
  </si>
  <si>
    <t>[3] Company Form 10-K, Company Tariffs, S&amp;P Capital IQ Pro</t>
  </si>
  <si>
    <t>[5] Equals IF( AND( [3]=No, [4]=No, [5]=No), No, Yes)</t>
  </si>
  <si>
    <t xml:space="preserve">[6] S&amp;P Global Market Intelligence, Regulatory Focus: Adjustment Clauses, dated July 18, 2022. Operating subsidiaries not covered in this report were excluded from this exhibit. </t>
  </si>
  <si>
    <t>[7] Data provided by the Company</t>
  </si>
  <si>
    <t>[1] Source: S&amp;P Capital IQ Pro, equals 30-day average as of June 30, 2024</t>
  </si>
  <si>
    <t>允䅁䅁䅯䅁畁䅁䅁䅋䩂䝁䄴杤桂䝁䅷兡歂䍁䅁杒療䡁䅉兢ㅂ䝁䅷兙杁䕁䄴兙瑂䝁䅕克䅁䅁䅉䅁楁䅁䅁睍畁䑁䅍睍祁䑁䅑免穁䑁䅅杍㕁䑁䅙李㉁䑁䅙睎䅁䅁䅁䅁啁䅁䅁李癁䑁䅍䅍癁䑁䅉䅍祁䑁䅑䅁䉁䅁䅁䅃䅁䕁䅅䅖偂䅁䅁睁䅁䉁䅯䅁䩂䙁䅅睘乂䕁䅅杕䱂䕁䅕䅖䑂䕁䅅䅕䅁䅁䅑䅁䝁䅁䅁杔䩂䅁䅁兂䅁䅁䅧䅁佂䙁䅣杔䅁䅁䅙䅁䥁䅁䅁睔䡂䙁䅍䅁䥁䅁䅁杂䅁䙁䅍杕䅁䅁䅣䅁䥁䅁䅁兖呂䕁䅑䅁䩁䅁䅁䅁䅁䅁㴽</t>
  </si>
  <si>
    <t>[11] Value Line, dated December 29, 2023.</t>
  </si>
  <si>
    <t>Near-term projected 30-year U.S. Treasury bond yield (Q4 2024 - Q4 2025)</t>
  </si>
  <si>
    <t>Projected 30-year U.S. Treasury bond yield (2026 - 2030)</t>
  </si>
  <si>
    <t>[2] Source: Exhibit AEB-6</t>
  </si>
  <si>
    <t>Blue Chip Near-Term Projected Forecast (Q4 2024 - Q4 2025) [5]</t>
  </si>
  <si>
    <t>Blue Chip Long-Term Projected Forecast (2026-2030) [6]</t>
  </si>
  <si>
    <t>Proxy Group Market Capitalization</t>
  </si>
  <si>
    <t>Company-Proposed Common Equity Ratio</t>
  </si>
  <si>
    <t>Common Equity ($ millions)</t>
  </si>
  <si>
    <t>Market Capitalization of Proxy Group (median) ($millions)</t>
  </si>
  <si>
    <t xml:space="preserve">Proxy Group Median Market Capitalization </t>
  </si>
  <si>
    <t>[2] Data provided by the Company</t>
  </si>
  <si>
    <t>[3] Data provided by the Company</t>
  </si>
  <si>
    <t>[4] Equals [2] x [3]</t>
  </si>
  <si>
    <t>[5] Equals median market capitalization of proxy group x 1000</t>
  </si>
  <si>
    <t>[6]-[7] Kroll Cost of Capital Navigator - Size Premium: Annual Data as of 12/31/2023</t>
  </si>
  <si>
    <t>Size Premium [8]</t>
  </si>
  <si>
    <t>2024-2028 CAPITAL EXPENDITURES AS A PERCENT OF 2023 NET PLANT</t>
  </si>
  <si>
    <t>Projected CAPEX / 2023 Net Plant</t>
  </si>
  <si>
    <t>2024-2028</t>
  </si>
  <si>
    <t>Source: Exhibit AEB-10, page 1, col. [7]</t>
  </si>
  <si>
    <t xml:space="preserve">[1] Regulatory Research Associates, Rate Case History, effective as of June 30, 2024, Company Tariffs, Company Form 10-K. </t>
  </si>
  <si>
    <t>[4] S&amp;P Global Market Intelligence, Regulatory Focus: Adjustment Clauses, dated July 18, 2022.</t>
  </si>
  <si>
    <t>Hurricanes</t>
  </si>
  <si>
    <t>Operation State</t>
  </si>
  <si>
    <t>Rank</t>
  </si>
  <si>
    <t>Numeric Rank</t>
  </si>
  <si>
    <t>Expected Annual Loss</t>
  </si>
  <si>
    <t>Rating</t>
  </si>
  <si>
    <t>STATE</t>
  </si>
  <si>
    <t>STATEABBRV</t>
  </si>
  <si>
    <t>WFIR_EALR</t>
  </si>
  <si>
    <t>Description</t>
  </si>
  <si>
    <t>Value</t>
  </si>
  <si>
    <t>AL</t>
  </si>
  <si>
    <t>Very Low</t>
  </si>
  <si>
    <t>Relatively Moderate</t>
  </si>
  <si>
    <t>Very High</t>
  </si>
  <si>
    <t>IN</t>
  </si>
  <si>
    <t>Relatively High</t>
  </si>
  <si>
    <t>KS</t>
  </si>
  <si>
    <t>Not Applicable</t>
  </si>
  <si>
    <t>KY</t>
  </si>
  <si>
    <t>Relatively Low</t>
  </si>
  <si>
    <t>LA</t>
  </si>
  <si>
    <t>MD</t>
  </si>
  <si>
    <t>OH</t>
  </si>
  <si>
    <t>OK</t>
  </si>
  <si>
    <t>OR</t>
  </si>
  <si>
    <t>PA</t>
  </si>
  <si>
    <t>TN</t>
  </si>
  <si>
    <t>TX</t>
  </si>
  <si>
    <t>VA</t>
  </si>
  <si>
    <t>WA</t>
  </si>
  <si>
    <t>Proxy Group Average</t>
  </si>
  <si>
    <t>Notes</t>
  </si>
  <si>
    <t>[1]-[4] Source: Company-provided information</t>
  </si>
  <si>
    <t>Flotation Cost Adjustment (Mean) [22]</t>
  </si>
  <si>
    <t>Flotation Cost Adjustment (Median) [23]</t>
  </si>
  <si>
    <t>[22] Equals [21] (Mean) − [20] (Mean)</t>
  </si>
  <si>
    <t>[23] Equals [21] (Median) − [20] (Median)</t>
  </si>
  <si>
    <t>[2] Natural Gas, Electric and Water operating subsidiaries where data was unable to be obtained for 2021-2023 were removed from the analysis.</t>
  </si>
  <si>
    <t>COMMON EQUITY RATIO - UTILITY OPERATING COMPANIES [2]</t>
  </si>
  <si>
    <t>3-yr Avg.</t>
  </si>
  <si>
    <t>LONG-TERM DEBT RATIO - UTILITY OPERATING COMPANIES [2]</t>
  </si>
  <si>
    <t>PREFERRED EQUITY RATIO - UTILITY OPERATING COMPANIES [2]</t>
  </si>
  <si>
    <t>Northwest Natural Holding Company</t>
  </si>
  <si>
    <t>2023 Test Year Rate Base ($millions)</t>
  </si>
  <si>
    <t>HURRICANE EXPECTED ANNUAL LOSS RANKINGS</t>
  </si>
  <si>
    <t>[1]-[2]: FEMA National Risk Index, States and Territories - Expected Annual Loss (Table).</t>
  </si>
  <si>
    <t>[3] Very Low = 1, Relatively Low = 2, Relatively Moderate = 3, Relatively High = 4, Very High = 5</t>
  </si>
  <si>
    <t>Hurricane Ranking Legend</t>
  </si>
  <si>
    <t>CENTERPOINT ENERGY RESOURCES CORP.</t>
  </si>
  <si>
    <t>ANNUAL</t>
  </si>
  <si>
    <t>AMORTIZATION</t>
  </si>
  <si>
    <t xml:space="preserve">OF ISSUANCE </t>
  </si>
  <si>
    <t>TOTAL</t>
  </si>
  <si>
    <t>PRINCIPAL</t>
  </si>
  <si>
    <t>EXPENSES AND</t>
  </si>
  <si>
    <t>INCLUDING</t>
  </si>
  <si>
    <t>SECURITY</t>
  </si>
  <si>
    <t>OUTSTANDING</t>
  </si>
  <si>
    <t>MATURITY</t>
  </si>
  <si>
    <t>RATE</t>
  </si>
  <si>
    <t>INTEREST</t>
  </si>
  <si>
    <t>DISCOUNTS/(PREMIUMS), HEDGES</t>
  </si>
  <si>
    <t xml:space="preserve"> </t>
  </si>
  <si>
    <t>SENIOR NOTES</t>
  </si>
  <si>
    <t>INTERCOMPANY DEBT (MONEY POOL)</t>
  </si>
  <si>
    <t>CENTERPOINT ENERGY RESOURCES CORP. TOTAL</t>
  </si>
  <si>
    <t>CERC COMMERCIAL PAPER AND BANK LOANS</t>
  </si>
  <si>
    <t xml:space="preserve">Revolving Credit Facility due 12/6/2027 </t>
  </si>
  <si>
    <t>Receivables Facility</t>
  </si>
  <si>
    <t>TOTAL CONSOLIDATED DEBT:</t>
  </si>
  <si>
    <t>Average Cost of Fixed Long Term Rate Debt for CenterPoint Energy Resources Corp. (CERC)</t>
  </si>
  <si>
    <t>Average Cost of Fixed Short Term Rate Debt for CenterPoint Energy Resources Corp. (CERC)</t>
  </si>
  <si>
    <t>DATE</t>
  </si>
  <si>
    <t>ISSUE</t>
  </si>
  <si>
    <t>MOODY'S</t>
  </si>
  <si>
    <t>COUPON</t>
  </si>
  <si>
    <t>LESS</t>
  </si>
  <si>
    <t>A-RATED</t>
  </si>
  <si>
    <t>BAA-RATED</t>
  </si>
  <si>
    <t>UTILITY BOND INDEX</t>
  </si>
  <si>
    <t>A INDEX YIELD</t>
  </si>
  <si>
    <t>BAA INDEX YIELD</t>
  </si>
  <si>
    <t>CenterPoint Energy Entex</t>
  </si>
  <si>
    <t>CenterPoint Energy Entex - Common Equity</t>
  </si>
  <si>
    <t>CPEE</t>
  </si>
  <si>
    <t>CPEE CapEx Total (2024 - 2028)</t>
  </si>
  <si>
    <t>CPEE CapEx Annual Average</t>
  </si>
  <si>
    <t>Ratio of CPEE to the Proxy Group Median</t>
  </si>
  <si>
    <t>[8] - [9] Data provided by CenterPoint Energy Entex</t>
  </si>
  <si>
    <t>CenterPoint Energy Entex/Proxy Group</t>
  </si>
  <si>
    <t xml:space="preserve">COMPARISON OF CENTERPOINT ENERGY ENTEX AND PROXY GROUP COMPANIES  </t>
  </si>
  <si>
    <t>CenterPoint Energy Entex [7]</t>
  </si>
  <si>
    <t>CENTERPOINT ENERGY ENTEX LONG-TERM DEBT AND SHORT-TERM DEBT COSTS ANALYSIS</t>
  </si>
  <si>
    <t xml:space="preserve"> AVERAGE COST OF TOTAL DEBT AS OF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</si>
</sst>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7" formatCode="&quot;$&quot;#,##0.00_);\(&quot;$&quot;#,##0.00\)"/>
    <numFmt numFmtId="44" formatCode="_(&quot;$&quot;* #,##0.00_);_(&quot;$&quot;* \(#,##0.00\);_(&quot;$&quot;* &quot;-&quot;??_);_(@_)"/>
    <numFmt numFmtId="43" formatCode="_(* #,##0.00_);_(* \(#,##0.00\);_(* &quot;-&quot;??_);_(@_)"/>
    <numFmt numFmtId="164" formatCode="&quot;[&quot;#&quot;]&quot;"/>
    <numFmt numFmtId="165" formatCode="&quot;$&quot;#,##0.00"/>
    <numFmt numFmtId="166" formatCode="0.0"/>
    <numFmt numFmtId="167" formatCode="0.0%"/>
    <numFmt numFmtId="168" formatCode="0.0000000%"/>
    <numFmt numFmtId="169" formatCode="_(* #,##0.0000000_);_(* \(#,##0.0000000\);_(* &quot;-&quot;??_);_(@_)"/>
    <numFmt numFmtId="170" formatCode="_(* #,##0.00000_);_(* \(#,##0.00000\);_(* &quot;-&quot;??_);_(@_)"/>
    <numFmt numFmtId="171" formatCode="_(* #,##0.0000_);_(* \(#,##0.0000\);_(* &quot;-&quot;??_);_(@_)"/>
    <numFmt numFmtId="172" formatCode="[$-409]mmmm\-yy;@"/>
    <numFmt numFmtId="173" formatCode="_(&quot;$&quot;* #,##0_);_(&quot;$&quot;* \(#,##0\);_(&quot;$&quot;* &quot;-&quot;??_);_(@_)"/>
    <numFmt numFmtId="174" formatCode="_(* #,##0.00_);_(* \(#,##0.00\);_(* &quot;-&quot;???_);_(@_)"/>
    <numFmt numFmtId="175" formatCode="&quot;$&quot;#,##0.0"/>
    <numFmt numFmtId="176" formatCode="_(* #,##0_);_(* \(#,##0\);_(* &quot;-&quot;??_);_(@_)"/>
    <numFmt numFmtId="177" formatCode="0.000%"/>
    <numFmt numFmtId="178" formatCode="_(* #,##0.000_);_(* \(#,##0.000\);_(* &quot;-&quot;??_);_(@_)"/>
    <numFmt numFmtId="179" formatCode="_(&quot;$&quot;* #,##0.0000_);_(&quot;$&quot;* \(#,##0.0000\);_(&quot;$&quot;* &quot;-&quot;??_);_(@_)"/>
    <numFmt numFmtId="180" formatCode="0.0000%"/>
    <numFmt numFmtId="181" formatCode="&quot;$&quot;#,##0.0_);\(&quot;$&quot;#,##0.0\)"/>
    <numFmt numFmtId="182" formatCode="mm/dd/yy;@"/>
    <numFmt numFmtId="183" formatCode="mm/dd/yy"/>
    <numFmt numFmtId="184" formatCode="0.000%_);\(0.000%\);0.000%_);@_)"/>
  </numFmts>
  <fonts count="34">
    <font>
      <sz val="11"/>
      <color theme="1"/>
      <name val="Calibri"/>
      <family val="2"/>
      <scheme val="minor"/>
    </font>
    <font>
      <sz val="11"/>
      <color theme="1"/>
      <name val="Calibri"/>
      <family val="2"/>
      <scheme val="minor"/>
    </font>
    <font>
      <sz val="10"/>
      <color theme="1"/>
      <name val="Arial"/>
      <family val="2"/>
    </font>
    <font>
      <sz val="10"/>
      <name val="Arial"/>
      <family val="2"/>
    </font>
    <font>
      <sz val="12"/>
      <color theme="1"/>
      <name val="Times New Roman"/>
      <family val="1"/>
    </font>
    <font>
      <sz val="12"/>
      <name val="Times New Roman"/>
      <family val="1"/>
    </font>
    <font>
      <b/>
      <sz val="12"/>
      <name val="Times New Roman"/>
      <family val="1"/>
    </font>
    <font>
      <b/>
      <i/>
      <sz val="12"/>
      <name val="Times New Roman"/>
      <family val="1"/>
    </font>
    <font>
      <i/>
      <sz val="12"/>
      <name val="Times New Roman"/>
      <family val="1"/>
    </font>
    <font>
      <sz val="12"/>
      <color indexed="8"/>
      <name val="Times New Roman"/>
      <family val="1"/>
    </font>
    <font>
      <sz val="12"/>
      <color theme="1"/>
      <name val="Calibri"/>
      <family val="2"/>
      <scheme val="minor"/>
    </font>
    <font>
      <sz val="12"/>
      <color theme="1"/>
      <name val="Times New Roman"/>
      <family val="2"/>
    </font>
    <font>
      <b/>
      <sz val="12"/>
      <color theme="1"/>
      <name val="Times New Roman"/>
      <family val="1"/>
    </font>
    <font>
      <sz val="12"/>
      <color theme="0"/>
      <name val="Times New Roman"/>
      <family val="1"/>
    </font>
    <font>
      <b/>
      <sz val="12"/>
      <color indexed="8"/>
      <name val="Times New Roman"/>
      <family val="1"/>
    </font>
    <font>
      <b/>
      <sz val="12"/>
      <color theme="0"/>
      <name val="Times New Roman"/>
      <family val="1"/>
    </font>
    <font>
      <sz val="10"/>
      <color theme="1"/>
      <name val="Ariel"/>
      <family val="2"/>
    </font>
    <font>
      <i/>
      <sz val="10"/>
      <name val="Arial"/>
      <family val="2"/>
    </font>
    <font>
      <sz val="8"/>
      <name val="Calibri"/>
      <family val="2"/>
      <scheme val="minor"/>
    </font>
    <font>
      <sz val="10"/>
      <color rgb="FF000000"/>
      <name val="Arial"/>
      <family val="2"/>
    </font>
    <font>
      <sz val="10"/>
      <color rgb="FFFF0000"/>
      <name val="Arial"/>
      <family val="2"/>
    </font>
    <font>
      <b/>
      <sz val="10"/>
      <color theme="1"/>
      <name val="Arial"/>
      <family val="2"/>
    </font>
    <font>
      <sz val="10"/>
      <color theme="0"/>
      <name val="Arial"/>
      <family val="2"/>
    </font>
    <font>
      <sz val="8"/>
      <color rgb="FF000000"/>
      <name val="Arial"/>
      <family val="2"/>
    </font>
    <font>
      <u/>
      <sz val="10"/>
      <color theme="1"/>
      <name val="Arial"/>
      <family val="2"/>
    </font>
    <font>
      <sz val="12"/>
      <name val="Arial MT"/>
    </font>
    <font>
      <b/>
      <sz val="12"/>
      <color rgb="FFFF0000"/>
      <name val="Times New Roman"/>
      <family val="1"/>
    </font>
    <font>
      <b/>
      <sz val="12"/>
      <name val="Arial"/>
      <family val="2"/>
    </font>
    <font>
      <b/>
      <sz val="12"/>
      <color theme="1"/>
      <name val="Arial"/>
      <family val="2"/>
    </font>
    <font>
      <b/>
      <sz val="10"/>
      <name val="Arial"/>
      <family val="2"/>
    </font>
    <font>
      <b/>
      <u/>
      <sz val="10"/>
      <name val="Arial"/>
      <family val="2"/>
    </font>
    <font>
      <sz val="10"/>
      <color rgb="FF00B050"/>
      <name val="Arial"/>
      <family val="2"/>
    </font>
    <font>
      <b/>
      <sz val="10"/>
      <color theme="0"/>
      <name val="Arial"/>
      <family val="2"/>
    </font>
    <font>
      <b/>
      <u val="double"/>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medium">
        <color auto="1"/>
      </bottom>
      <diagonal/>
    </border>
    <border>
      <left/>
      <right/>
      <top style="medium">
        <color indexed="64"/>
      </top>
      <bottom style="thin">
        <color indexed="64"/>
      </bottom>
      <diagonal/>
    </border>
    <border>
      <left/>
      <right/>
      <top/>
      <bottom style="thin">
        <color auto="1"/>
      </bottom>
      <diagonal/>
    </border>
    <border>
      <left/>
      <right/>
      <top style="thin">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indexed="64"/>
      </bottom>
      <diagonal/>
    </border>
    <border>
      <left/>
      <right style="thin">
        <color indexed="64"/>
      </right>
      <top/>
      <bottom/>
      <diagonal/>
    </border>
    <border>
      <left/>
      <right/>
      <top/>
      <bottom style="double">
        <color indexed="64"/>
      </bottom>
      <diagonal/>
    </border>
  </borders>
  <cellStyleXfs count="81">
    <xf numFmtId="0" fontId="0" fillId="0" borderId="0"/>
    <xf numFmtId="9" fontId="1" fillId="0" borderId="0" applyFont="0" applyFill="0" applyBorder="0" applyAlignment="0" applyProtection="0"/>
    <xf numFmtId="0" fontId="1" fillId="0" borderId="0" applyNumberFormat="0" applyBorder="0" applyProtection="0">
      <alignment vertical="center"/>
    </xf>
    <xf numFmtId="0" fontId="2" fillId="0" borderId="0"/>
    <xf numFmtId="9" fontId="1" fillId="0" borderId="0" applyFont="0" applyFill="0" applyBorder="0" applyAlignment="0" applyProtection="0"/>
    <xf numFmtId="0" fontId="3" fillId="0" borderId="0"/>
    <xf numFmtId="0" fontId="1" fillId="0" borderId="0" applyNumberFormat="0" applyBorder="0" applyProtection="0">
      <alignment vertical="center"/>
    </xf>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9" fontId="10"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applyNumberFormat="0" applyBorder="0" applyProtection="0">
      <alignment vertical="center"/>
    </xf>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3" fillId="0" borderId="0"/>
    <xf numFmtId="0" fontId="5" fillId="0" borderId="0"/>
    <xf numFmtId="0" fontId="2" fillId="0" borderId="0"/>
    <xf numFmtId="0" fontId="2" fillId="0" borderId="0"/>
    <xf numFmtId="0" fontId="1" fillId="0" borderId="0"/>
    <xf numFmtId="9" fontId="11" fillId="0" borderId="0" applyFont="0" applyFill="0" applyBorder="0" applyAlignment="0" applyProtection="0"/>
    <xf numFmtId="0" fontId="2" fillId="0" borderId="0"/>
    <xf numFmtId="0" fontId="2" fillId="0" borderId="0"/>
    <xf numFmtId="0" fontId="3"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applyNumberFormat="0" applyBorder="0" applyProtection="0">
      <alignment vertical="center"/>
    </xf>
    <xf numFmtId="44" fontId="1" fillId="0" borderId="0" applyFont="0" applyFill="0" applyBorder="0" applyAlignment="0" applyProtection="0"/>
    <xf numFmtId="0" fontId="1" fillId="0" borderId="0" applyNumberFormat="0" applyBorder="0" applyProtection="0">
      <alignment vertical="center"/>
    </xf>
    <xf numFmtId="0" fontId="3" fillId="0" borderId="0"/>
    <xf numFmtId="0" fontId="1" fillId="0" borderId="0" applyNumberFormat="0" applyBorder="0" applyProtection="0">
      <alignment vertical="center"/>
    </xf>
    <xf numFmtId="9" fontId="1" fillId="0" borderId="0" applyFont="0" applyFill="0" applyBorder="0" applyAlignment="0" applyProtection="0"/>
    <xf numFmtId="0" fontId="1" fillId="0" borderId="0" applyNumberFormat="0" applyBorder="0" applyProtection="0">
      <alignment vertical="center"/>
    </xf>
    <xf numFmtId="0" fontId="16"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applyNumberFormat="0" applyBorder="0" applyProtection="0">
      <alignment vertical="center"/>
    </xf>
    <xf numFmtId="172" fontId="1" fillId="0" borderId="0" applyNumberFormat="0" applyBorder="0" applyProtection="0">
      <alignment vertical="center"/>
    </xf>
    <xf numFmtId="0" fontId="2"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xf numFmtId="0" fontId="1" fillId="0" borderId="0"/>
    <xf numFmtId="0" fontId="3" fillId="0" borderId="0"/>
    <xf numFmtId="9" fontId="1" fillId="0" borderId="0" applyFont="0" applyFill="0" applyBorder="0" applyAlignment="0" applyProtection="0"/>
    <xf numFmtId="0" fontId="25" fillId="0" borderId="0"/>
    <xf numFmtId="0" fontId="3" fillId="0" borderId="0"/>
    <xf numFmtId="0" fontId="1" fillId="0" borderId="0" applyNumberFormat="0" applyBorder="0" applyProtection="0">
      <alignment vertical="center"/>
    </xf>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53">
    <xf numFmtId="0" fontId="0" fillId="0" borderId="0" xfId="0"/>
    <xf numFmtId="0" fontId="4" fillId="0" borderId="0" xfId="0" applyFont="1"/>
    <xf numFmtId="0" fontId="5" fillId="0" borderId="0" xfId="0" applyFont="1" applyAlignment="1">
      <alignment horizontal="center"/>
    </xf>
    <xf numFmtId="10" fontId="5" fillId="0" borderId="0" xfId="4" applyNumberFormat="1" applyFont="1" applyFill="1" applyBorder="1" applyAlignment="1">
      <alignment horizontal="center"/>
    </xf>
    <xf numFmtId="0" fontId="4" fillId="0" borderId="0" xfId="6" applyFont="1">
      <alignment vertical="center"/>
    </xf>
    <xf numFmtId="0" fontId="5" fillId="0" borderId="0" xfId="5" applyFont="1" applyAlignment="1">
      <alignment horizontal="center" vertical="center" wrapText="1"/>
    </xf>
    <xf numFmtId="0" fontId="5" fillId="0" borderId="0" xfId="7" applyFont="1" applyAlignment="1">
      <alignment horizontal="center" vertical="center" wrapText="1"/>
    </xf>
    <xf numFmtId="0" fontId="5" fillId="0" borderId="0" xfId="7" applyFont="1" applyAlignment="1">
      <alignment horizontal="right" vertical="center"/>
    </xf>
    <xf numFmtId="10" fontId="5" fillId="0" borderId="0" xfId="7" applyNumberFormat="1" applyFont="1" applyAlignment="1">
      <alignment horizontal="center" vertical="center" wrapText="1"/>
    </xf>
    <xf numFmtId="166" fontId="5" fillId="0" borderId="0" xfId="7" applyNumberFormat="1" applyFont="1" applyAlignment="1">
      <alignment horizontal="center" vertical="center" wrapText="1"/>
    </xf>
    <xf numFmtId="10" fontId="5" fillId="0" borderId="0" xfId="5" applyNumberFormat="1" applyFont="1" applyAlignment="1">
      <alignment horizontal="center" vertical="center" wrapText="1"/>
    </xf>
    <xf numFmtId="0" fontId="5" fillId="0" borderId="0" xfId="5" applyFont="1" applyBorder="1" applyAlignment="1">
      <alignment horizontal="center" vertical="center" wrapText="1"/>
    </xf>
    <xf numFmtId="10" fontId="5" fillId="2" borderId="0" xfId="7" applyNumberFormat="1" applyFont="1" applyFill="1" applyBorder="1" applyAlignment="1">
      <alignment horizontal="center" vertical="center" wrapText="1"/>
    </xf>
    <xf numFmtId="10" fontId="5" fillId="0" borderId="0" xfId="7" applyNumberFormat="1" applyFont="1" applyAlignment="1">
      <alignment horizontal="right" vertical="center"/>
    </xf>
    <xf numFmtId="10" fontId="4" fillId="0" borderId="0" xfId="6" applyNumberFormat="1" applyFont="1">
      <alignment vertical="center"/>
    </xf>
    <xf numFmtId="0" fontId="5" fillId="0" borderId="0" xfId="7" applyFont="1" applyBorder="1" applyAlignment="1">
      <alignment horizontal="center" vertical="center" wrapText="1"/>
    </xf>
    <xf numFmtId="10" fontId="5" fillId="0" borderId="0" xfId="7" applyNumberFormat="1" applyFont="1" applyBorder="1" applyAlignment="1">
      <alignment horizontal="center" vertical="center" wrapText="1"/>
    </xf>
    <xf numFmtId="0" fontId="4" fillId="0" borderId="0" xfId="6" applyFont="1" applyAlignment="1">
      <alignment horizontal="right" vertical="center"/>
    </xf>
    <xf numFmtId="0" fontId="4" fillId="0" borderId="0" xfId="0" applyFont="1" applyFill="1"/>
    <xf numFmtId="43" fontId="4" fillId="0" borderId="0" xfId="16" applyFont="1" applyAlignment="1">
      <alignment horizontal="center"/>
    </xf>
    <xf numFmtId="0" fontId="4" fillId="0" borderId="0" xfId="2" applyFont="1">
      <alignment vertical="center"/>
    </xf>
    <xf numFmtId="0" fontId="4" fillId="0" borderId="0" xfId="2" applyFont="1" applyFill="1">
      <alignment vertical="center"/>
    </xf>
    <xf numFmtId="0" fontId="5" fillId="0" borderId="0" xfId="0" applyFont="1" applyFill="1"/>
    <xf numFmtId="0" fontId="5" fillId="0" borderId="0" xfId="0" applyFont="1" applyFill="1" applyAlignment="1">
      <alignment horizontal="center"/>
    </xf>
    <xf numFmtId="165" fontId="5" fillId="0" borderId="0" xfId="0" applyNumberFormat="1" applyFont="1" applyFill="1" applyAlignment="1">
      <alignment horizontal="center"/>
    </xf>
    <xf numFmtId="10" fontId="5" fillId="0" borderId="0" xfId="0" applyNumberFormat="1" applyFont="1" applyFill="1" applyBorder="1" applyAlignment="1">
      <alignment horizontal="center"/>
    </xf>
    <xf numFmtId="10" fontId="4" fillId="0" borderId="0" xfId="1" applyNumberFormat="1" applyFont="1" applyFill="1" applyBorder="1" applyAlignment="1">
      <alignment horizontal="center"/>
    </xf>
    <xf numFmtId="0" fontId="5" fillId="0" borderId="3" xfId="0" applyFont="1" applyFill="1" applyBorder="1"/>
    <xf numFmtId="0" fontId="5" fillId="0" borderId="3" xfId="0" applyFont="1" applyFill="1" applyBorder="1" applyAlignment="1">
      <alignment horizontal="center"/>
    </xf>
    <xf numFmtId="0" fontId="5" fillId="0" borderId="0" xfId="0" applyFont="1" applyFill="1" applyBorder="1"/>
    <xf numFmtId="0" fontId="5" fillId="0" borderId="0" xfId="0" applyFont="1" applyFill="1" applyBorder="1" applyAlignment="1">
      <alignment horizontal="center"/>
    </xf>
    <xf numFmtId="0" fontId="4" fillId="0" borderId="0" xfId="2" applyFont="1" applyFill="1" applyAlignment="1">
      <alignment horizontal="center" vertical="center"/>
    </xf>
    <xf numFmtId="10" fontId="4" fillId="0" borderId="0" xfId="2" applyNumberFormat="1" applyFont="1" applyFill="1">
      <alignment vertical="center"/>
    </xf>
    <xf numFmtId="164" fontId="4" fillId="0" borderId="0" xfId="0" applyNumberFormat="1" applyFont="1" applyFill="1" applyAlignment="1">
      <alignment horizontal="center"/>
    </xf>
    <xf numFmtId="0" fontId="5" fillId="0" borderId="0" xfId="0" applyFont="1" applyFill="1" applyAlignment="1">
      <alignment horizontal="center" wrapText="1"/>
    </xf>
    <xf numFmtId="0" fontId="4" fillId="0" borderId="0" xfId="0" applyFont="1" applyFill="1" applyAlignment="1">
      <alignment horizontal="center"/>
    </xf>
    <xf numFmtId="10" fontId="4" fillId="0" borderId="0" xfId="1" applyNumberFormat="1" applyFont="1" applyFill="1" applyAlignment="1">
      <alignment horizontal="center"/>
    </xf>
    <xf numFmtId="10" fontId="4" fillId="0" borderId="0" xfId="1" applyNumberFormat="1" applyFont="1" applyFill="1"/>
    <xf numFmtId="10" fontId="4" fillId="0" borderId="0" xfId="0" applyNumberFormat="1" applyFont="1" applyFill="1" applyBorder="1" applyAlignment="1">
      <alignment horizontal="center"/>
    </xf>
    <xf numFmtId="10" fontId="4" fillId="0" borderId="3" xfId="1" applyNumberFormat="1" applyFont="1" applyFill="1" applyBorder="1" applyAlignment="1">
      <alignment horizontal="center"/>
    </xf>
    <xf numFmtId="10" fontId="5" fillId="0" borderId="0" xfId="1" applyNumberFormat="1" applyFont="1" applyFill="1" applyBorder="1" applyAlignment="1">
      <alignment horizontal="center"/>
    </xf>
    <xf numFmtId="0" fontId="4" fillId="0" borderId="0" xfId="0" applyFont="1" applyFill="1" applyAlignment="1">
      <alignment horizontal="left"/>
    </xf>
    <xf numFmtId="0" fontId="5" fillId="0" borderId="0" xfId="12" applyFont="1" applyFill="1" applyAlignment="1">
      <alignment horizontal="center"/>
    </xf>
    <xf numFmtId="0" fontId="5" fillId="0" borderId="0" xfId="8" applyFont="1"/>
    <xf numFmtId="0" fontId="5" fillId="0" borderId="0" xfId="8" applyFont="1" applyAlignment="1">
      <alignment horizontal="center"/>
    </xf>
    <xf numFmtId="0" fontId="5" fillId="0" borderId="2" xfId="8" applyFont="1" applyBorder="1" applyAlignment="1">
      <alignment horizontal="center"/>
    </xf>
    <xf numFmtId="0" fontId="5" fillId="0" borderId="2" xfId="8" applyFont="1" applyBorder="1" applyAlignment="1">
      <alignment horizontal="center" wrapText="1"/>
    </xf>
    <xf numFmtId="0" fontId="5" fillId="0" borderId="0" xfId="8" quotePrefix="1" applyFont="1" applyAlignment="1">
      <alignment horizontal="center"/>
    </xf>
    <xf numFmtId="10" fontId="5" fillId="0" borderId="0" xfId="9" applyNumberFormat="1" applyFont="1" applyAlignment="1">
      <alignment horizontal="center"/>
    </xf>
    <xf numFmtId="10" fontId="5" fillId="0" borderId="4" xfId="9" applyNumberFormat="1" applyFont="1" applyBorder="1" applyAlignment="1">
      <alignment horizontal="center"/>
    </xf>
    <xf numFmtId="10" fontId="5" fillId="0" borderId="0" xfId="9" applyNumberFormat="1" applyFont="1" applyBorder="1" applyAlignment="1">
      <alignment horizontal="center"/>
    </xf>
    <xf numFmtId="0" fontId="5" fillId="0" borderId="0" xfId="8" applyFont="1" applyAlignment="1"/>
    <xf numFmtId="0" fontId="5" fillId="0" borderId="5" xfId="10" applyFont="1" applyBorder="1"/>
    <xf numFmtId="0" fontId="5" fillId="0" borderId="5" xfId="10" applyFont="1" applyBorder="1" applyAlignment="1">
      <alignment horizontal="center"/>
    </xf>
    <xf numFmtId="0" fontId="5" fillId="0" borderId="0" xfId="10" applyFont="1"/>
    <xf numFmtId="0" fontId="5" fillId="0" borderId="0" xfId="10" applyFont="1" applyAlignment="1">
      <alignment horizontal="center"/>
    </xf>
    <xf numFmtId="0" fontId="5" fillId="0" borderId="3" xfId="10" applyFont="1" applyBorder="1"/>
    <xf numFmtId="0" fontId="5" fillId="0" borderId="3" xfId="10" applyFont="1" applyBorder="1" applyAlignment="1">
      <alignment horizontal="center"/>
    </xf>
    <xf numFmtId="10" fontId="5" fillId="0" borderId="0" xfId="11" applyNumberFormat="1" applyFont="1" applyFill="1" applyBorder="1" applyAlignment="1">
      <alignment horizontal="center"/>
    </xf>
    <xf numFmtId="0" fontId="5" fillId="0" borderId="0" xfId="10" applyFont="1" applyFill="1"/>
    <xf numFmtId="10" fontId="5" fillId="0" borderId="3" xfId="11" applyNumberFormat="1" applyFont="1" applyFill="1" applyBorder="1" applyAlignment="1">
      <alignment horizontal="center"/>
    </xf>
    <xf numFmtId="0" fontId="5" fillId="0" borderId="6" xfId="10" applyFont="1" applyBorder="1"/>
    <xf numFmtId="10" fontId="5" fillId="0" borderId="6" xfId="11" applyNumberFormat="1" applyFont="1" applyBorder="1" applyAlignment="1">
      <alignment horizontal="center"/>
    </xf>
    <xf numFmtId="0" fontId="4" fillId="0" borderId="0" xfId="6" applyFont="1" applyFill="1">
      <alignment vertical="center"/>
    </xf>
    <xf numFmtId="0" fontId="5" fillId="0" borderId="4" xfId="10" applyFont="1" applyBorder="1" applyAlignment="1">
      <alignment horizontal="center"/>
    </xf>
    <xf numFmtId="10" fontId="4" fillId="0" borderId="4" xfId="10" applyNumberFormat="1" applyFont="1" applyBorder="1" applyAlignment="1">
      <alignment horizontal="center"/>
    </xf>
    <xf numFmtId="0" fontId="5" fillId="0" borderId="1" xfId="10" applyFont="1" applyBorder="1" applyAlignment="1">
      <alignment horizontal="center"/>
    </xf>
    <xf numFmtId="10" fontId="4" fillId="0" borderId="1" xfId="10" applyNumberFormat="1" applyFont="1" applyBorder="1" applyAlignment="1">
      <alignment horizontal="center"/>
    </xf>
    <xf numFmtId="0" fontId="12" fillId="0" borderId="0" xfId="2" applyFont="1" applyFill="1" applyAlignment="1">
      <alignment vertical="center"/>
    </xf>
    <xf numFmtId="0" fontId="12" fillId="0" borderId="0" xfId="0" applyFont="1" applyFill="1"/>
    <xf numFmtId="10" fontId="12" fillId="0" borderId="0" xfId="1" applyNumberFormat="1" applyFont="1" applyFill="1" applyAlignment="1">
      <alignment horizontal="center"/>
    </xf>
    <xf numFmtId="0" fontId="5" fillId="0" borderId="2" xfId="0" applyFont="1" applyFill="1" applyBorder="1" applyAlignment="1">
      <alignment horizontal="center"/>
    </xf>
    <xf numFmtId="0" fontId="4" fillId="0" borderId="2" xfId="3" applyFont="1" applyFill="1" applyBorder="1" applyAlignment="1">
      <alignment horizontal="center" wrapText="1"/>
    </xf>
    <xf numFmtId="0" fontId="5" fillId="0" borderId="2" xfId="3" applyFont="1" applyFill="1" applyBorder="1" applyAlignment="1">
      <alignment horizontal="center" wrapText="1"/>
    </xf>
    <xf numFmtId="0" fontId="5" fillId="0" borderId="4" xfId="0" applyFont="1" applyFill="1" applyBorder="1"/>
    <xf numFmtId="2" fontId="5" fillId="0" borderId="0" xfId="0" applyNumberFormat="1" applyFont="1" applyFill="1" applyAlignment="1">
      <alignment horizontal="center"/>
    </xf>
    <xf numFmtId="10" fontId="5" fillId="0" borderId="0" xfId="3" applyNumberFormat="1" applyFont="1" applyFill="1" applyAlignment="1">
      <alignment horizontal="center" wrapText="1"/>
    </xf>
    <xf numFmtId="10" fontId="4" fillId="0" borderId="3" xfId="0" applyNumberFormat="1" applyFont="1" applyFill="1" applyBorder="1" applyAlignment="1">
      <alignment horizontal="center"/>
    </xf>
    <xf numFmtId="0" fontId="4" fillId="0" borderId="4" xfId="0" applyFont="1" applyFill="1" applyBorder="1"/>
    <xf numFmtId="2" fontId="5" fillId="0" borderId="4" xfId="1" applyNumberFormat="1" applyFont="1" applyFill="1" applyBorder="1" applyAlignment="1">
      <alignment horizontal="center"/>
    </xf>
    <xf numFmtId="10" fontId="5" fillId="0" borderId="4" xfId="1" applyNumberFormat="1" applyFont="1" applyFill="1" applyBorder="1" applyAlignment="1">
      <alignment horizontal="center"/>
    </xf>
    <xf numFmtId="0" fontId="5" fillId="0" borderId="1" xfId="0" applyFont="1" applyFill="1" applyBorder="1"/>
    <xf numFmtId="0" fontId="4" fillId="0" borderId="1" xfId="0" applyFont="1" applyFill="1" applyBorder="1"/>
    <xf numFmtId="2" fontId="5" fillId="0" borderId="1" xfId="1" applyNumberFormat="1" applyFont="1" applyFill="1" applyBorder="1" applyAlignment="1">
      <alignment horizontal="center"/>
    </xf>
    <xf numFmtId="10" fontId="5" fillId="0" borderId="1" xfId="1" applyNumberFormat="1" applyFont="1" applyFill="1" applyBorder="1" applyAlignment="1">
      <alignment horizontal="center"/>
    </xf>
    <xf numFmtId="0" fontId="4" fillId="0" borderId="0" xfId="3" applyFont="1" applyFill="1"/>
    <xf numFmtId="0" fontId="5" fillId="0" borderId="2" xfId="0" applyFont="1" applyFill="1" applyBorder="1"/>
    <xf numFmtId="2" fontId="5" fillId="0" borderId="0" xfId="0" applyNumberFormat="1" applyFont="1" applyFill="1" applyBorder="1" applyAlignment="1">
      <alignment horizontal="center"/>
    </xf>
    <xf numFmtId="0" fontId="5" fillId="0" borderId="2" xfId="0" applyFont="1" applyFill="1" applyBorder="1" applyAlignment="1">
      <alignment horizontal="center" wrapText="1"/>
    </xf>
    <xf numFmtId="0" fontId="5" fillId="0" borderId="0" xfId="2" applyFont="1" applyFill="1">
      <alignment vertical="center"/>
    </xf>
    <xf numFmtId="10" fontId="5" fillId="0" borderId="7" xfId="0" applyNumberFormat="1" applyFont="1" applyFill="1" applyBorder="1" applyAlignment="1">
      <alignment horizontal="centerContinuous"/>
    </xf>
    <xf numFmtId="10" fontId="5" fillId="0" borderId="7" xfId="1" applyNumberFormat="1" applyFont="1" applyFill="1" applyBorder="1" applyAlignment="1">
      <alignment horizontal="centerContinuous"/>
    </xf>
    <xf numFmtId="10" fontId="5" fillId="0" borderId="8" xfId="1" applyNumberFormat="1" applyFont="1" applyFill="1" applyBorder="1" applyAlignment="1">
      <alignment horizontal="centerContinuous"/>
    </xf>
    <xf numFmtId="0" fontId="5" fillId="0" borderId="5" xfId="0" applyFont="1" applyFill="1" applyBorder="1"/>
    <xf numFmtId="0" fontId="5" fillId="0" borderId="5" xfId="12" applyFont="1" applyFill="1" applyBorder="1"/>
    <xf numFmtId="0" fontId="5" fillId="0" borderId="5" xfId="0" applyFont="1" applyFill="1" applyBorder="1" applyAlignment="1">
      <alignment horizontal="center"/>
    </xf>
    <xf numFmtId="0" fontId="5" fillId="0" borderId="0" xfId="12" applyFont="1" applyFill="1"/>
    <xf numFmtId="0" fontId="5" fillId="0" borderId="3" xfId="12" applyFont="1" applyFill="1" applyBorder="1" applyAlignment="1">
      <alignment horizontal="center"/>
    </xf>
    <xf numFmtId="0" fontId="4" fillId="0" borderId="0" xfId="13" applyFont="1" applyFill="1"/>
    <xf numFmtId="0" fontId="4" fillId="0" borderId="0" xfId="13" applyFont="1" applyFill="1" applyAlignment="1">
      <alignment horizontal="center"/>
    </xf>
    <xf numFmtId="4" fontId="4" fillId="0" borderId="0" xfId="13" applyNumberFormat="1" applyFont="1" applyFill="1" applyAlignment="1">
      <alignment horizontal="center"/>
    </xf>
    <xf numFmtId="4" fontId="4" fillId="0" borderId="0" xfId="13" applyNumberFormat="1" applyFont="1" applyAlignment="1">
      <alignment horizontal="center"/>
    </xf>
    <xf numFmtId="10" fontId="9" fillId="0" borderId="0" xfId="1" applyNumberFormat="1" applyFont="1" applyFill="1" applyAlignment="1">
      <alignment horizontal="center"/>
    </xf>
    <xf numFmtId="10" fontId="9" fillId="0" borderId="0" xfId="15" applyNumberFormat="1" applyFont="1" applyFill="1" applyAlignment="1">
      <alignment horizontal="center"/>
    </xf>
    <xf numFmtId="10" fontId="5" fillId="0" borderId="0" xfId="0" applyNumberFormat="1" applyFont="1" applyFill="1" applyAlignment="1">
      <alignment horizontal="center"/>
    </xf>
    <xf numFmtId="164" fontId="4" fillId="0" borderId="1" xfId="0" applyNumberFormat="1" applyFont="1" applyBorder="1" applyAlignment="1">
      <alignment horizontal="center"/>
    </xf>
    <xf numFmtId="0" fontId="5" fillId="0" borderId="2" xfId="0" applyFont="1" applyBorder="1" applyAlignment="1">
      <alignment horizontal="centerContinuous"/>
    </xf>
    <xf numFmtId="0" fontId="5" fillId="0" borderId="2" xfId="0" applyFont="1" applyBorder="1" applyAlignment="1">
      <alignment horizontal="center"/>
    </xf>
    <xf numFmtId="14" fontId="5" fillId="0" borderId="2" xfId="0" applyNumberFormat="1" applyFont="1" applyBorder="1" applyAlignment="1">
      <alignment horizontal="center"/>
    </xf>
    <xf numFmtId="14" fontId="5" fillId="0" borderId="3" xfId="0" applyNumberFormat="1" applyFont="1" applyBorder="1" applyAlignment="1">
      <alignment horizontal="center"/>
    </xf>
    <xf numFmtId="14" fontId="5" fillId="0" borderId="3" xfId="0" applyNumberFormat="1" applyFont="1" applyBorder="1" applyAlignment="1">
      <alignment horizontal="center" wrapText="1"/>
    </xf>
    <xf numFmtId="0" fontId="5" fillId="0" borderId="4" xfId="0" applyFont="1" applyBorder="1"/>
    <xf numFmtId="0" fontId="5" fillId="0" borderId="0" xfId="0" applyFont="1" applyBorder="1"/>
    <xf numFmtId="2" fontId="4" fillId="0" borderId="0" xfId="2" applyNumberFormat="1" applyFont="1" applyAlignment="1">
      <alignment horizontal="center" vertical="center"/>
    </xf>
    <xf numFmtId="2" fontId="5" fillId="0" borderId="0" xfId="17" applyNumberFormat="1" applyFont="1" applyFill="1" applyAlignment="1">
      <alignment horizontal="center"/>
    </xf>
    <xf numFmtId="0" fontId="4" fillId="0" borderId="6" xfId="2" applyFont="1" applyBorder="1">
      <alignment vertical="center"/>
    </xf>
    <xf numFmtId="2" fontId="4" fillId="0" borderId="6" xfId="2" applyNumberFormat="1" applyFont="1" applyBorder="1" applyAlignment="1">
      <alignment horizontal="center" vertical="center"/>
    </xf>
    <xf numFmtId="0" fontId="4" fillId="0" borderId="3" xfId="0" applyFont="1" applyFill="1" applyBorder="1"/>
    <xf numFmtId="0" fontId="5" fillId="0" borderId="0" xfId="0" applyFont="1" applyFill="1" applyAlignment="1"/>
    <xf numFmtId="164" fontId="5" fillId="0" borderId="0" xfId="0" applyNumberFormat="1" applyFont="1" applyFill="1" applyAlignment="1">
      <alignment horizontal="center"/>
    </xf>
    <xf numFmtId="0" fontId="5" fillId="0" borderId="2" xfId="0" applyFont="1" applyFill="1" applyBorder="1" applyAlignment="1">
      <alignment horizontal="centerContinuous"/>
    </xf>
    <xf numFmtId="165" fontId="5" fillId="0" borderId="0" xfId="0" applyNumberFormat="1" applyFont="1" applyFill="1" applyBorder="1" applyAlignment="1">
      <alignment horizontal="center"/>
    </xf>
    <xf numFmtId="165" fontId="5" fillId="0" borderId="3" xfId="0" applyNumberFormat="1" applyFont="1" applyFill="1" applyBorder="1" applyAlignment="1">
      <alignment horizontal="center"/>
    </xf>
    <xf numFmtId="10" fontId="5" fillId="0" borderId="3" xfId="0" applyNumberFormat="1" applyFont="1" applyFill="1" applyBorder="1" applyAlignment="1">
      <alignment horizontal="center"/>
    </xf>
    <xf numFmtId="10" fontId="5" fillId="0" borderId="3" xfId="1" applyNumberFormat="1" applyFont="1" applyFill="1" applyBorder="1" applyAlignment="1">
      <alignment horizontal="center"/>
    </xf>
    <xf numFmtId="0" fontId="5" fillId="0" borderId="0" xfId="0" applyFont="1" applyFill="1" applyBorder="1" applyAlignment="1">
      <alignment horizontal="left" indent="1"/>
    </xf>
    <xf numFmtId="0" fontId="4" fillId="0" borderId="0" xfId="0" applyFont="1" applyFill="1" applyBorder="1"/>
    <xf numFmtId="0" fontId="5" fillId="0" borderId="1" xfId="0" applyFont="1" applyFill="1" applyBorder="1" applyAlignment="1">
      <alignment horizontal="left" indent="1"/>
    </xf>
    <xf numFmtId="0" fontId="4" fillId="0" borderId="1" xfId="0" applyFont="1" applyFill="1" applyBorder="1" applyAlignment="1">
      <alignment horizontal="center"/>
    </xf>
    <xf numFmtId="10" fontId="4" fillId="0" borderId="1" xfId="0" applyNumberFormat="1" applyFont="1" applyFill="1" applyBorder="1" applyAlignment="1">
      <alignment horizontal="center"/>
    </xf>
    <xf numFmtId="10" fontId="4" fillId="0" borderId="0" xfId="0" applyNumberFormat="1" applyFont="1" applyFill="1" applyAlignment="1">
      <alignment horizontal="center"/>
    </xf>
    <xf numFmtId="0" fontId="5" fillId="0" borderId="0" xfId="3" applyFont="1"/>
    <xf numFmtId="0" fontId="5" fillId="0" borderId="1" xfId="3" applyFont="1" applyBorder="1" applyAlignment="1">
      <alignment horizontal="center"/>
    </xf>
    <xf numFmtId="0" fontId="4" fillId="0" borderId="0" xfId="2" applyFont="1" applyAlignment="1">
      <alignment horizontal="center" vertical="center"/>
    </xf>
    <xf numFmtId="0" fontId="5" fillId="0" borderId="0" xfId="0" applyFont="1" applyAlignment="1">
      <alignment horizontal="left"/>
    </xf>
    <xf numFmtId="0" fontId="5" fillId="0" borderId="3" xfId="0" applyFont="1" applyBorder="1" applyAlignment="1">
      <alignment horizontal="left"/>
    </xf>
    <xf numFmtId="0" fontId="5" fillId="0" borderId="3" xfId="0" applyFont="1" applyBorder="1" applyAlignment="1">
      <alignment horizontal="center"/>
    </xf>
    <xf numFmtId="0" fontId="5" fillId="0" borderId="3" xfId="3" applyFont="1" applyBorder="1"/>
    <xf numFmtId="0" fontId="5" fillId="0" borderId="0" xfId="3" applyFont="1" applyAlignment="1">
      <alignment horizontal="center"/>
    </xf>
    <xf numFmtId="0" fontId="4" fillId="0" borderId="0" xfId="3" applyFont="1" applyFill="1" applyAlignment="1">
      <alignment horizontal="center"/>
    </xf>
    <xf numFmtId="0" fontId="12" fillId="0" borderId="0" xfId="0" applyFont="1" applyFill="1" applyAlignment="1">
      <alignment horizontal="center"/>
    </xf>
    <xf numFmtId="10" fontId="5" fillId="0" borderId="0" xfId="43" applyNumberFormat="1" applyFont="1" applyAlignment="1">
      <alignment horizontal="center"/>
    </xf>
    <xf numFmtId="0" fontId="5" fillId="0" borderId="0" xfId="3" applyFont="1" applyFill="1" applyAlignment="1">
      <alignment horizontal="center"/>
    </xf>
    <xf numFmtId="168" fontId="5" fillId="0" borderId="8" xfId="0" applyNumberFormat="1" applyFont="1" applyFill="1" applyBorder="1" applyAlignment="1">
      <alignment horizontal="centerContinuous"/>
    </xf>
    <xf numFmtId="168" fontId="5" fillId="0" borderId="0" xfId="0" applyNumberFormat="1" applyFont="1" applyFill="1"/>
    <xf numFmtId="10" fontId="5" fillId="0" borderId="0" xfId="0" applyNumberFormat="1" applyFont="1" applyFill="1"/>
    <xf numFmtId="10" fontId="4" fillId="0" borderId="0" xfId="1" applyNumberFormat="1" applyFont="1"/>
    <xf numFmtId="167" fontId="4" fillId="0" borderId="0" xfId="1" applyNumberFormat="1" applyFont="1" applyAlignment="1">
      <alignment vertical="center"/>
    </xf>
    <xf numFmtId="14" fontId="15" fillId="0" borderId="0" xfId="0" applyNumberFormat="1" applyFont="1" applyFill="1" applyAlignment="1">
      <alignment horizontal="left"/>
    </xf>
    <xf numFmtId="14" fontId="13" fillId="0" borderId="0" xfId="2" applyNumberFormat="1" applyFont="1" applyFill="1">
      <alignment vertical="center"/>
    </xf>
    <xf numFmtId="0" fontId="4" fillId="0" borderId="0" xfId="0" applyFont="1" applyFill="1" applyBorder="1" applyAlignment="1"/>
    <xf numFmtId="0" fontId="4" fillId="0" borderId="0" xfId="0" applyFont="1" applyFill="1" applyAlignment="1">
      <alignment horizontal="center"/>
    </xf>
    <xf numFmtId="0" fontId="4" fillId="0" borderId="0" xfId="0" applyFont="1" applyFill="1" applyBorder="1" applyAlignment="1">
      <alignment horizontal="center"/>
    </xf>
    <xf numFmtId="0" fontId="6" fillId="0" borderId="0" xfId="0" applyFont="1" applyFill="1" applyAlignment="1">
      <alignment horizontal="center"/>
    </xf>
    <xf numFmtId="0" fontId="5" fillId="0" borderId="0" xfId="0" applyFont="1" applyFill="1" applyBorder="1" applyAlignment="1">
      <alignment horizontal="center" wrapText="1"/>
    </xf>
    <xf numFmtId="164" fontId="5" fillId="0" borderId="1" xfId="0" applyNumberFormat="1" applyFont="1" applyFill="1" applyBorder="1" applyAlignment="1">
      <alignment horizontal="center"/>
    </xf>
    <xf numFmtId="0" fontId="6" fillId="0" borderId="0" xfId="0" applyFont="1" applyFill="1" applyBorder="1" applyAlignment="1">
      <alignment horizontal="center"/>
    </xf>
    <xf numFmtId="164" fontId="5" fillId="0" borderId="0" xfId="0" applyNumberFormat="1" applyFont="1" applyFill="1" applyBorder="1" applyAlignment="1">
      <alignment horizontal="center"/>
    </xf>
    <xf numFmtId="0" fontId="4" fillId="0" borderId="0" xfId="0" applyFont="1" applyFill="1" applyBorder="1" applyAlignment="1">
      <alignment horizontal="center" wrapText="1"/>
    </xf>
    <xf numFmtId="0" fontId="4" fillId="0" borderId="0" xfId="0" applyFont="1" applyFill="1" applyAlignment="1">
      <alignment horizontal="center"/>
    </xf>
    <xf numFmtId="0" fontId="7" fillId="0" borderId="0"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0" xfId="7" applyFont="1" applyFill="1" applyBorder="1" applyAlignment="1">
      <alignment horizontal="left" vertical="center" wrapText="1"/>
    </xf>
    <xf numFmtId="10" fontId="5" fillId="0" borderId="0" xfId="7" applyNumberFormat="1" applyFont="1" applyFill="1" applyBorder="1" applyAlignment="1">
      <alignment horizontal="center" vertical="center" wrapText="1"/>
    </xf>
    <xf numFmtId="10" fontId="5" fillId="0" borderId="0" xfId="5" applyNumberFormat="1" applyFont="1" applyFill="1" applyBorder="1" applyAlignment="1">
      <alignment horizontal="center" vertical="center" wrapText="1"/>
    </xf>
    <xf numFmtId="0" fontId="4" fillId="0" borderId="0" xfId="6" applyFont="1" applyFill="1" applyBorder="1">
      <alignment vertical="center"/>
    </xf>
    <xf numFmtId="0" fontId="6" fillId="0" borderId="0" xfId="5" applyFont="1" applyFill="1" applyBorder="1" applyAlignment="1">
      <alignment horizontal="center" vertical="center" wrapText="1"/>
    </xf>
    <xf numFmtId="10" fontId="5" fillId="0" borderId="9" xfId="7" applyNumberFormat="1" applyFont="1" applyBorder="1" applyAlignment="1">
      <alignment horizontal="center" vertical="center" wrapText="1"/>
    </xf>
    <xf numFmtId="0" fontId="5" fillId="0" borderId="0" xfId="5" applyFont="1" applyBorder="1" applyAlignment="1">
      <alignment horizontal="center" wrapText="1"/>
    </xf>
    <xf numFmtId="0" fontId="4" fillId="0" borderId="2" xfId="3" applyFont="1" applyBorder="1" applyAlignment="1">
      <alignment horizontal="center" vertical="center" wrapText="1"/>
    </xf>
    <xf numFmtId="0" fontId="5" fillId="0" borderId="2" xfId="3" applyFont="1" applyBorder="1" applyAlignment="1">
      <alignment horizontal="center" vertical="center"/>
    </xf>
    <xf numFmtId="0" fontId="4" fillId="0" borderId="2" xfId="2" applyFont="1" applyBorder="1" applyAlignment="1">
      <alignment horizontal="center" vertical="center" wrapText="1"/>
    </xf>
    <xf numFmtId="0" fontId="5" fillId="0" borderId="2" xfId="3" applyFont="1" applyBorder="1" applyAlignment="1">
      <alignment vertical="center"/>
    </xf>
    <xf numFmtId="10" fontId="5" fillId="0" borderId="3" xfId="7" applyNumberFormat="1" applyFont="1" applyBorder="1" applyAlignment="1">
      <alignment horizontal="center" vertical="center" wrapText="1"/>
    </xf>
    <xf numFmtId="0" fontId="5" fillId="0" borderId="4" xfId="5" applyFont="1" applyBorder="1" applyAlignment="1">
      <alignment horizontal="center" vertical="center" wrapText="1"/>
    </xf>
    <xf numFmtId="10" fontId="5" fillId="2" borderId="3" xfId="7" applyNumberFormat="1" applyFont="1" applyFill="1" applyBorder="1" applyAlignment="1">
      <alignment horizontal="center" vertical="center" wrapText="1"/>
    </xf>
    <xf numFmtId="0" fontId="4" fillId="0" borderId="0" xfId="0" applyFont="1" applyFill="1" applyAlignment="1"/>
    <xf numFmtId="0" fontId="4" fillId="0" borderId="2" xfId="3" applyFont="1" applyFill="1" applyBorder="1" applyAlignment="1">
      <alignment horizontal="center" vertical="center"/>
    </xf>
    <xf numFmtId="0" fontId="4" fillId="0" borderId="2" xfId="3" applyFont="1" applyFill="1" applyBorder="1" applyAlignment="1">
      <alignment horizontal="center" vertical="center" wrapText="1"/>
    </xf>
    <xf numFmtId="14" fontId="13" fillId="2" borderId="0" xfId="2" applyNumberFormat="1" applyFont="1" applyFill="1">
      <alignment vertical="center"/>
    </xf>
    <xf numFmtId="0" fontId="3" fillId="0" borderId="0" xfId="10" applyFont="1" applyAlignment="1"/>
    <xf numFmtId="0" fontId="17" fillId="0" borderId="2" xfId="10" applyFont="1" applyFill="1" applyBorder="1" applyAlignment="1">
      <alignment horizontal="centerContinuous"/>
    </xf>
    <xf numFmtId="0" fontId="3" fillId="0" borderId="0" xfId="10" applyFont="1" applyFill="1" applyBorder="1" applyAlignment="1"/>
    <xf numFmtId="169" fontId="3" fillId="0" borderId="0" xfId="56" applyNumberFormat="1" applyFont="1" applyFill="1" applyBorder="1" applyAlignment="1"/>
    <xf numFmtId="0" fontId="3" fillId="0" borderId="1" xfId="10" applyFont="1" applyFill="1" applyBorder="1" applyAlignment="1"/>
    <xf numFmtId="0" fontId="17" fillId="0" borderId="2" xfId="10" applyFont="1" applyFill="1" applyBorder="1" applyAlignment="1">
      <alignment horizontal="center"/>
    </xf>
    <xf numFmtId="170" fontId="3" fillId="0" borderId="0" xfId="56" applyNumberFormat="1" applyFont="1" applyFill="1" applyBorder="1" applyAlignment="1"/>
    <xf numFmtId="170" fontId="3" fillId="0" borderId="1" xfId="56" applyNumberFormat="1" applyFont="1" applyFill="1" applyBorder="1" applyAlignment="1"/>
    <xf numFmtId="171" fontId="3" fillId="0" borderId="0" xfId="56" applyNumberFormat="1" applyFont="1" applyFill="1" applyBorder="1" applyAlignment="1"/>
    <xf numFmtId="43" fontId="3" fillId="0" borderId="0" xfId="56" applyFont="1" applyFill="1" applyBorder="1" applyAlignment="1"/>
    <xf numFmtId="171" fontId="3" fillId="0" borderId="1" xfId="56" applyNumberFormat="1" applyFont="1" applyFill="1" applyBorder="1" applyAlignment="1"/>
    <xf numFmtId="43" fontId="3" fillId="0" borderId="1" xfId="56" applyFont="1" applyFill="1" applyBorder="1" applyAlignment="1"/>
    <xf numFmtId="0" fontId="6" fillId="0" borderId="0" xfId="5" applyFont="1" applyBorder="1" applyAlignment="1">
      <alignment horizontal="center" vertical="center" wrapText="1"/>
    </xf>
    <xf numFmtId="0" fontId="5" fillId="0" borderId="0" xfId="5" applyFont="1" applyBorder="1" applyAlignment="1">
      <alignment horizontal="left" vertical="center" wrapText="1" indent="2"/>
    </xf>
    <xf numFmtId="0" fontId="5" fillId="0" borderId="9" xfId="7" applyFont="1" applyBorder="1" applyAlignment="1">
      <alignment horizontal="center" vertical="center" wrapText="1"/>
    </xf>
    <xf numFmtId="0" fontId="4" fillId="0" borderId="0" xfId="6" applyFont="1" applyBorder="1">
      <alignment vertical="center"/>
    </xf>
    <xf numFmtId="0" fontId="5" fillId="0" borderId="3" xfId="5" applyFont="1" applyBorder="1" applyAlignment="1">
      <alignment horizontal="left" vertical="center" wrapText="1" indent="2"/>
    </xf>
    <xf numFmtId="0" fontId="5" fillId="0" borderId="3" xfId="7" applyFont="1" applyBorder="1" applyAlignment="1">
      <alignment horizontal="left" vertical="center" wrapText="1"/>
    </xf>
    <xf numFmtId="10" fontId="5" fillId="0" borderId="3" xfId="5" applyNumberFormat="1" applyFont="1" applyBorder="1" applyAlignment="1">
      <alignment horizontal="center" vertical="center" wrapText="1"/>
    </xf>
    <xf numFmtId="0" fontId="3" fillId="0" borderId="1" xfId="10" applyBorder="1"/>
    <xf numFmtId="0" fontId="5" fillId="0" borderId="0" xfId="8" quotePrefix="1" applyNumberFormat="1" applyFont="1" applyAlignment="1">
      <alignment horizontal="center"/>
    </xf>
    <xf numFmtId="2" fontId="4" fillId="0" borderId="0" xfId="6" applyNumberFormat="1" applyFont="1">
      <alignment vertical="center"/>
    </xf>
    <xf numFmtId="2" fontId="5" fillId="0" borderId="0" xfId="8" quotePrefix="1" applyNumberFormat="1" applyFont="1" applyAlignment="1">
      <alignment horizontal="center"/>
    </xf>
    <xf numFmtId="0" fontId="2" fillId="0" borderId="0" xfId="19" applyAlignment="1">
      <alignment horizontal="centerContinuous"/>
    </xf>
    <xf numFmtId="0" fontId="2" fillId="0" borderId="0" xfId="19"/>
    <xf numFmtId="0" fontId="2" fillId="0" borderId="0" xfId="20" applyFont="1" applyAlignment="1">
      <alignment horizontal="center"/>
    </xf>
    <xf numFmtId="0" fontId="2" fillId="0" borderId="5" xfId="19" applyBorder="1"/>
    <xf numFmtId="0" fontId="2" fillId="0" borderId="5" xfId="19" applyBorder="1" applyAlignment="1">
      <alignment horizontal="center"/>
    </xf>
    <xf numFmtId="0" fontId="2" fillId="0" borderId="0" xfId="19" applyAlignment="1">
      <alignment horizontal="center"/>
    </xf>
    <xf numFmtId="0" fontId="2" fillId="0" borderId="3" xfId="19" applyBorder="1" applyAlignment="1">
      <alignment horizontal="centerContinuous"/>
    </xf>
    <xf numFmtId="0" fontId="2" fillId="0" borderId="3" xfId="19" applyBorder="1" applyAlignment="1">
      <alignment horizontal="center"/>
    </xf>
    <xf numFmtId="0" fontId="2" fillId="0" borderId="0" xfId="19" applyAlignment="1">
      <alignment horizontal="left"/>
    </xf>
    <xf numFmtId="2" fontId="2" fillId="0" borderId="0" xfId="19" applyNumberFormat="1" applyAlignment="1">
      <alignment horizontal="center"/>
    </xf>
    <xf numFmtId="44" fontId="2" fillId="0" borderId="0" xfId="19" applyNumberFormat="1"/>
    <xf numFmtId="10" fontId="2" fillId="0" borderId="0" xfId="19" applyNumberFormat="1"/>
    <xf numFmtId="0" fontId="2" fillId="0" borderId="5" xfId="20" applyFont="1" applyBorder="1" applyAlignment="1">
      <alignment horizontal="right"/>
    </xf>
    <xf numFmtId="0" fontId="2" fillId="0" borderId="5" xfId="20" applyFont="1" applyBorder="1"/>
    <xf numFmtId="0" fontId="2" fillId="0" borderId="0" xfId="20" applyFont="1" applyAlignment="1">
      <alignment horizontal="right"/>
    </xf>
    <xf numFmtId="0" fontId="2" fillId="0" borderId="0" xfId="20" applyFont="1"/>
    <xf numFmtId="0" fontId="2" fillId="0" borderId="3" xfId="19" applyBorder="1"/>
    <xf numFmtId="0" fontId="2" fillId="0" borderId="3" xfId="20" applyFont="1" applyBorder="1" applyAlignment="1">
      <alignment horizontal="right"/>
    </xf>
    <xf numFmtId="10" fontId="2" fillId="0" borderId="4" xfId="19" applyNumberFormat="1" applyBorder="1"/>
    <xf numFmtId="0" fontId="2" fillId="0" borderId="3" xfId="19" applyBorder="1" applyAlignment="1">
      <alignment horizontal="left"/>
    </xf>
    <xf numFmtId="10" fontId="2" fillId="0" borderId="3" xfId="19" applyNumberFormat="1" applyBorder="1"/>
    <xf numFmtId="174" fontId="2" fillId="0" borderId="0" xfId="19" applyNumberFormat="1"/>
    <xf numFmtId="0" fontId="19" fillId="0" borderId="0" xfId="20" applyFont="1"/>
    <xf numFmtId="0" fontId="3" fillId="0" borderId="0" xfId="12" applyFont="1" applyAlignment="1">
      <alignment horizontal="centerContinuous"/>
    </xf>
    <xf numFmtId="0" fontId="3" fillId="0" borderId="0" xfId="12" applyFont="1"/>
    <xf numFmtId="0" fontId="17" fillId="0" borderId="0" xfId="12" applyFont="1"/>
    <xf numFmtId="0" fontId="3" fillId="0" borderId="0" xfId="12" applyFont="1" applyAlignment="1">
      <alignment horizontal="center"/>
    </xf>
    <xf numFmtId="0" fontId="17" fillId="0" borderId="5" xfId="12" applyFont="1" applyBorder="1"/>
    <xf numFmtId="0" fontId="3" fillId="0" borderId="5" xfId="12" applyFont="1" applyBorder="1"/>
    <xf numFmtId="0" fontId="3" fillId="0" borderId="5" xfId="12" applyFont="1" applyBorder="1" applyAlignment="1">
      <alignment horizontal="center"/>
    </xf>
    <xf numFmtId="0" fontId="3" fillId="0" borderId="3" xfId="12" applyFont="1" applyBorder="1"/>
    <xf numFmtId="0" fontId="3" fillId="0" borderId="3" xfId="12" applyFont="1" applyBorder="1" applyAlignment="1">
      <alignment horizontal="center"/>
    </xf>
    <xf numFmtId="0" fontId="2" fillId="0" borderId="0" xfId="12"/>
    <xf numFmtId="0" fontId="2" fillId="0" borderId="0" xfId="12" applyAlignment="1">
      <alignment horizontal="center"/>
    </xf>
    <xf numFmtId="165" fontId="3" fillId="0" borderId="0" xfId="12" applyNumberFormat="1" applyFont="1" applyAlignment="1">
      <alignment horizontal="center"/>
    </xf>
    <xf numFmtId="2" fontId="3" fillId="0" borderId="3" xfId="16" applyNumberFormat="1" applyFont="1" applyFill="1" applyBorder="1" applyAlignment="1">
      <alignment horizontal="center"/>
    </xf>
    <xf numFmtId="175" fontId="3" fillId="0" borderId="0" xfId="12" applyNumberFormat="1" applyFont="1" applyAlignment="1">
      <alignment horizontal="center"/>
    </xf>
    <xf numFmtId="10" fontId="3" fillId="0" borderId="0" xfId="53" applyNumberFormat="1" applyFont="1" applyFill="1" applyAlignment="1">
      <alignment horizontal="center"/>
    </xf>
    <xf numFmtId="0" fontId="2" fillId="0" borderId="0" xfId="12" applyAlignment="1">
      <alignment horizontal="center" vertical="center"/>
    </xf>
    <xf numFmtId="9" fontId="3" fillId="0" borderId="0" xfId="53" applyFont="1" applyFill="1" applyBorder="1"/>
    <xf numFmtId="176" fontId="3" fillId="0" borderId="0" xfId="16" applyNumberFormat="1" applyFont="1" applyFill="1" applyBorder="1"/>
    <xf numFmtId="0" fontId="3" fillId="0" borderId="0" xfId="12" applyFont="1" applyAlignment="1">
      <alignment horizontal="center" vertical="center"/>
    </xf>
    <xf numFmtId="10" fontId="3" fillId="0" borderId="0" xfId="53" applyNumberFormat="1" applyFont="1" applyFill="1" applyBorder="1" applyAlignment="1">
      <alignment horizontal="center"/>
    </xf>
    <xf numFmtId="10" fontId="3" fillId="0" borderId="0" xfId="53" applyNumberFormat="1" applyFont="1" applyFill="1" applyBorder="1"/>
    <xf numFmtId="10" fontId="3" fillId="0" borderId="0" xfId="53" applyNumberFormat="1" applyFont="1" applyFill="1"/>
    <xf numFmtId="43" fontId="3" fillId="0" borderId="0" xfId="16" applyFont="1" applyFill="1" applyBorder="1"/>
    <xf numFmtId="175" fontId="0" fillId="0" borderId="0" xfId="35" applyNumberFormat="1" applyFont="1" applyFill="1"/>
    <xf numFmtId="167" fontId="3" fillId="0" borderId="0" xfId="53" applyNumberFormat="1" applyFont="1" applyFill="1" applyBorder="1"/>
    <xf numFmtId="43" fontId="3" fillId="0" borderId="0" xfId="12" applyNumberFormat="1" applyFont="1"/>
    <xf numFmtId="3" fontId="3" fillId="0" borderId="0" xfId="12" applyNumberFormat="1" applyFont="1"/>
    <xf numFmtId="165" fontId="3" fillId="0" borderId="0" xfId="12" applyNumberFormat="1" applyFont="1"/>
    <xf numFmtId="175" fontId="3" fillId="0" borderId="0" xfId="12" applyNumberFormat="1" applyFont="1"/>
    <xf numFmtId="43" fontId="3" fillId="0" borderId="0" xfId="16" applyFont="1" applyFill="1"/>
    <xf numFmtId="0" fontId="2" fillId="0" borderId="0" xfId="12" applyAlignment="1">
      <alignment horizontal="centerContinuous"/>
    </xf>
    <xf numFmtId="0" fontId="20" fillId="0" borderId="0" xfId="12" applyFont="1"/>
    <xf numFmtId="0" fontId="21" fillId="0" borderId="0" xfId="12" applyFont="1" applyAlignment="1">
      <alignment horizontal="centerContinuous"/>
    </xf>
    <xf numFmtId="0" fontId="22" fillId="0" borderId="0" xfId="12" applyFont="1"/>
    <xf numFmtId="0" fontId="2" fillId="0" borderId="5" xfId="12" applyBorder="1" applyAlignment="1">
      <alignment horizontal="center"/>
    </xf>
    <xf numFmtId="0" fontId="2" fillId="0" borderId="5" xfId="12" applyBorder="1"/>
    <xf numFmtId="10" fontId="3" fillId="0" borderId="0" xfId="12" applyNumberFormat="1" applyFont="1" applyAlignment="1">
      <alignment horizontal="center"/>
    </xf>
    <xf numFmtId="0" fontId="0" fillId="0" borderId="0" xfId="19" applyFont="1"/>
    <xf numFmtId="0" fontId="3" fillId="0" borderId="4" xfId="12" applyFont="1" applyBorder="1"/>
    <xf numFmtId="0" fontId="2" fillId="0" borderId="4" xfId="12" applyBorder="1"/>
    <xf numFmtId="10" fontId="3" fillId="0" borderId="4" xfId="53" applyNumberFormat="1" applyFont="1" applyFill="1" applyBorder="1" applyAlignment="1">
      <alignment horizontal="center"/>
    </xf>
    <xf numFmtId="10" fontId="2" fillId="0" borderId="0" xfId="12" applyNumberFormat="1"/>
    <xf numFmtId="0" fontId="2" fillId="0" borderId="1" xfId="12" applyBorder="1"/>
    <xf numFmtId="0" fontId="3" fillId="0" borderId="1" xfId="12" applyFont="1" applyBorder="1"/>
    <xf numFmtId="2" fontId="3" fillId="0" borderId="1" xfId="12" applyNumberFormat="1" applyFont="1" applyBorder="1" applyAlignment="1">
      <alignment horizontal="center"/>
    </xf>
    <xf numFmtId="2" fontId="3" fillId="0" borderId="0" xfId="12" applyNumberFormat="1" applyFont="1" applyAlignment="1">
      <alignment horizontal="center"/>
    </xf>
    <xf numFmtId="0" fontId="2" fillId="0" borderId="3" xfId="12" applyBorder="1"/>
    <xf numFmtId="0" fontId="2" fillId="0" borderId="0" xfId="67"/>
    <xf numFmtId="0" fontId="2" fillId="0" borderId="0" xfId="30"/>
    <xf numFmtId="0" fontId="2" fillId="0" borderId="0" xfId="30" applyAlignment="1">
      <alignment horizontal="center"/>
    </xf>
    <xf numFmtId="177" fontId="3" fillId="0" borderId="0" xfId="12" applyNumberFormat="1" applyFont="1"/>
    <xf numFmtId="0" fontId="3" fillId="0" borderId="0" xfId="12" applyFont="1" applyAlignment="1">
      <alignment horizontal="center"/>
    </xf>
    <xf numFmtId="0" fontId="3" fillId="0" borderId="2" xfId="12" applyFont="1" applyBorder="1" applyAlignment="1">
      <alignment horizontal="left"/>
    </xf>
    <xf numFmtId="0" fontId="3" fillId="0" borderId="2" xfId="12" applyFont="1" applyBorder="1" applyAlignment="1">
      <alignment horizontal="center"/>
    </xf>
    <xf numFmtId="0" fontId="3" fillId="0" borderId="2" xfId="12" applyFont="1" applyBorder="1" applyAlignment="1">
      <alignment horizontal="center" wrapText="1"/>
    </xf>
    <xf numFmtId="0" fontId="3" fillId="0" borderId="0" xfId="12" applyFont="1" applyAlignment="1">
      <alignment wrapText="1"/>
    </xf>
    <xf numFmtId="0" fontId="2" fillId="0" borderId="0" xfId="12" applyAlignment="1">
      <alignment wrapText="1"/>
    </xf>
    <xf numFmtId="178" fontId="3" fillId="0" borderId="0" xfId="16" applyNumberFormat="1" applyFont="1"/>
    <xf numFmtId="43" fontId="2" fillId="0" borderId="0" xfId="12" applyNumberFormat="1"/>
    <xf numFmtId="14" fontId="23" fillId="0" borderId="0" xfId="12" applyNumberFormat="1" applyFont="1"/>
    <xf numFmtId="7" fontId="3" fillId="0" borderId="0" xfId="12" applyNumberFormat="1" applyFont="1"/>
    <xf numFmtId="0" fontId="3" fillId="0" borderId="3" xfId="37" applyFont="1" applyBorder="1" applyAlignment="1">
      <alignment horizontal="left"/>
    </xf>
    <xf numFmtId="177" fontId="3" fillId="0" borderId="0" xfId="36" applyNumberFormat="1" applyFont="1" applyFill="1" applyBorder="1"/>
    <xf numFmtId="0" fontId="3" fillId="0" borderId="0" xfId="37" applyFont="1" applyAlignment="1">
      <alignment horizontal="left"/>
    </xf>
    <xf numFmtId="9" fontId="2" fillId="0" borderId="0" xfId="12" applyNumberFormat="1"/>
    <xf numFmtId="44" fontId="3" fillId="0" borderId="0" xfId="12" applyNumberFormat="1" applyFont="1"/>
    <xf numFmtId="0" fontId="3" fillId="0" borderId="0" xfId="37" applyFont="1" applyAlignment="1">
      <alignment horizontal="left" indent="1"/>
    </xf>
    <xf numFmtId="180" fontId="2" fillId="0" borderId="0" xfId="12" applyNumberFormat="1"/>
    <xf numFmtId="10" fontId="3" fillId="0" borderId="0" xfId="1" applyNumberFormat="1" applyFont="1" applyAlignment="1">
      <alignment horizontal="center"/>
    </xf>
    <xf numFmtId="10" fontId="2" fillId="0" borderId="0" xfId="12" applyNumberFormat="1" applyAlignment="1">
      <alignment horizontal="center"/>
    </xf>
    <xf numFmtId="177" fontId="3" fillId="0" borderId="0" xfId="1" applyNumberFormat="1" applyFont="1"/>
    <xf numFmtId="0" fontId="3" fillId="0" borderId="4" xfId="12" applyFont="1" applyBorder="1" applyAlignment="1">
      <alignment horizontal="left"/>
    </xf>
    <xf numFmtId="10" fontId="2" fillId="0" borderId="4" xfId="12" applyNumberFormat="1" applyBorder="1" applyAlignment="1">
      <alignment horizontal="center"/>
    </xf>
    <xf numFmtId="0" fontId="3" fillId="0" borderId="1" xfId="12" applyFont="1" applyBorder="1" applyAlignment="1">
      <alignment horizontal="left"/>
    </xf>
    <xf numFmtId="0" fontId="3" fillId="0" borderId="1" xfId="12" applyFont="1" applyBorder="1" applyAlignment="1">
      <alignment horizontal="right"/>
    </xf>
    <xf numFmtId="10" fontId="3" fillId="0" borderId="1" xfId="12" applyNumberFormat="1" applyFont="1" applyBorder="1" applyAlignment="1">
      <alignment horizontal="center"/>
    </xf>
    <xf numFmtId="181" fontId="3" fillId="0" borderId="0" xfId="12" applyNumberFormat="1" applyFont="1" applyAlignment="1">
      <alignment horizontal="right"/>
    </xf>
    <xf numFmtId="44" fontId="3" fillId="0" borderId="0" xfId="12" quotePrefix="1" applyNumberFormat="1" applyFont="1"/>
    <xf numFmtId="0" fontId="2" fillId="0" borderId="0" xfId="70" applyFont="1" applyAlignment="1">
      <alignment horizontal="center" wrapText="1"/>
    </xf>
    <xf numFmtId="0" fontId="2" fillId="0" borderId="0" xfId="70" applyFont="1" applyAlignment="1">
      <alignment horizontal="center"/>
    </xf>
    <xf numFmtId="0" fontId="21" fillId="0" borderId="0" xfId="70" applyFont="1" applyAlignment="1">
      <alignment horizontal="center" wrapText="1"/>
    </xf>
    <xf numFmtId="0" fontId="2" fillId="0" borderId="3" xfId="70" applyFont="1" applyBorder="1"/>
    <xf numFmtId="0" fontId="2" fillId="0" borderId="3" xfId="70" applyFont="1" applyBorder="1" applyAlignment="1">
      <alignment horizontal="center"/>
    </xf>
    <xf numFmtId="0" fontId="3" fillId="0" borderId="3" xfId="50" applyBorder="1" applyAlignment="1">
      <alignment horizontal="center" wrapText="1"/>
    </xf>
    <xf numFmtId="1" fontId="2" fillId="0" borderId="0" xfId="70" applyNumberFormat="1" applyFont="1" applyAlignment="1">
      <alignment horizontal="left" wrapText="1"/>
    </xf>
    <xf numFmtId="0" fontId="2" fillId="0" borderId="0" xfId="27" applyAlignment="1">
      <alignment horizontal="center"/>
    </xf>
    <xf numFmtId="10" fontId="3" fillId="0" borderId="4" xfId="49" applyNumberFormat="1" applyFont="1" applyBorder="1" applyAlignment="1">
      <alignment horizontal="center"/>
    </xf>
    <xf numFmtId="0" fontId="2" fillId="0" borderId="0" xfId="70" applyFont="1"/>
    <xf numFmtId="0" fontId="2" fillId="0" borderId="0" xfId="70" applyFont="1" applyAlignment="1">
      <alignment horizontal="left" wrapText="1"/>
    </xf>
    <xf numFmtId="10" fontId="2" fillId="0" borderId="4" xfId="70" applyNumberFormat="1" applyFont="1" applyBorder="1" applyAlignment="1">
      <alignment horizontal="center"/>
    </xf>
    <xf numFmtId="10" fontId="2" fillId="0" borderId="0" xfId="70" applyNumberFormat="1" applyFont="1" applyAlignment="1">
      <alignment horizontal="center"/>
    </xf>
    <xf numFmtId="10" fontId="3" fillId="0" borderId="0" xfId="49" applyNumberFormat="1" applyFont="1" applyBorder="1" applyAlignment="1">
      <alignment horizontal="center"/>
    </xf>
    <xf numFmtId="0" fontId="3" fillId="0" borderId="0" xfId="70" applyFont="1"/>
    <xf numFmtId="10" fontId="3" fillId="0" borderId="0" xfId="49" applyNumberFormat="1" applyFont="1" applyFill="1" applyBorder="1" applyAlignment="1">
      <alignment horizontal="center"/>
    </xf>
    <xf numFmtId="0" fontId="3" fillId="0" borderId="0" xfId="26" applyFont="1"/>
    <xf numFmtId="0" fontId="2" fillId="0" borderId="0" xfId="10" applyFont="1"/>
    <xf numFmtId="0" fontId="2" fillId="0" borderId="0" xfId="10" applyFont="1" applyAlignment="1">
      <alignment horizontal="center"/>
    </xf>
    <xf numFmtId="0" fontId="2" fillId="0" borderId="4" xfId="10" applyFont="1" applyBorder="1"/>
    <xf numFmtId="0" fontId="2" fillId="0" borderId="4" xfId="10" applyFont="1" applyBorder="1" applyAlignment="1">
      <alignment horizontal="center"/>
    </xf>
    <xf numFmtId="10" fontId="2" fillId="0" borderId="4" xfId="51" applyNumberFormat="1" applyFont="1" applyBorder="1" applyAlignment="1">
      <alignment horizontal="center"/>
    </xf>
    <xf numFmtId="10" fontId="2" fillId="0" borderId="0" xfId="51" applyNumberFormat="1" applyFont="1" applyAlignment="1">
      <alignment horizontal="center"/>
    </xf>
    <xf numFmtId="0" fontId="2" fillId="0" borderId="1" xfId="10" applyFont="1" applyBorder="1"/>
    <xf numFmtId="0" fontId="2" fillId="0" borderId="1" xfId="10" applyFont="1" applyBorder="1" applyAlignment="1">
      <alignment horizontal="center"/>
    </xf>
    <xf numFmtId="10" fontId="2" fillId="0" borderId="1" xfId="51" applyNumberFormat="1" applyFont="1" applyBorder="1" applyAlignment="1">
      <alignment horizontal="center"/>
    </xf>
    <xf numFmtId="0" fontId="24" fillId="0" borderId="0" xfId="70" applyFont="1"/>
    <xf numFmtId="1" fontId="2" fillId="0" borderId="0" xfId="70" applyNumberFormat="1" applyFont="1" applyAlignment="1">
      <alignment horizontal="left"/>
    </xf>
    <xf numFmtId="0" fontId="1" fillId="0" borderId="0" xfId="75">
      <alignment vertical="center"/>
    </xf>
    <xf numFmtId="0" fontId="3" fillId="0" borderId="0" xfId="20" applyFont="1" applyAlignment="1">
      <alignment horizontal="center"/>
    </xf>
    <xf numFmtId="0" fontId="2" fillId="0" borderId="0" xfId="20" applyFont="1" applyAlignment="1">
      <alignment horizontal="left"/>
    </xf>
    <xf numFmtId="2" fontId="1" fillId="0" borderId="0" xfId="75" applyNumberFormat="1">
      <alignment vertical="center"/>
    </xf>
    <xf numFmtId="43" fontId="2" fillId="0" borderId="0" xfId="17" applyFont="1"/>
    <xf numFmtId="43" fontId="2" fillId="0" borderId="3" xfId="17" applyFont="1" applyBorder="1"/>
    <xf numFmtId="0" fontId="19" fillId="0" borderId="3" xfId="20" applyFont="1" applyBorder="1"/>
    <xf numFmtId="10" fontId="2" fillId="0" borderId="0" xfId="70" applyNumberFormat="1" applyFont="1" applyFill="1" applyAlignment="1">
      <alignment horizontal="center"/>
    </xf>
    <xf numFmtId="0" fontId="2" fillId="0" borderId="0" xfId="70" applyFont="1" applyFill="1" applyAlignment="1">
      <alignment horizontal="center" wrapText="1"/>
    </xf>
    <xf numFmtId="0" fontId="2" fillId="0" borderId="0" xfId="70" applyFont="1" applyFill="1" applyAlignment="1">
      <alignment horizontal="left" wrapText="1"/>
    </xf>
    <xf numFmtId="0" fontId="2" fillId="0" borderId="0" xfId="10" applyFont="1" applyFill="1" applyAlignment="1">
      <alignment horizontal="center"/>
    </xf>
    <xf numFmtId="0" fontId="4" fillId="0" borderId="0" xfId="23" applyFont="1" applyAlignment="1">
      <alignment horizontal="left"/>
    </xf>
    <xf numFmtId="0" fontId="4" fillId="0" borderId="0" xfId="23" applyFont="1"/>
    <xf numFmtId="0" fontId="12" fillId="0" borderId="0" xfId="23" applyFont="1" applyAlignment="1">
      <alignment horizontal="center"/>
    </xf>
    <xf numFmtId="0" fontId="4" fillId="0" borderId="0" xfId="23" applyFont="1" applyAlignment="1">
      <alignment horizontal="center"/>
    </xf>
    <xf numFmtId="0" fontId="4" fillId="0" borderId="0" xfId="23" applyFont="1" applyAlignment="1">
      <alignment horizontal="centerContinuous"/>
    </xf>
    <xf numFmtId="0" fontId="12" fillId="0" borderId="3" xfId="23" applyFont="1" applyBorder="1" applyAlignment="1">
      <alignment horizontal="centerContinuous" vertical="center"/>
    </xf>
    <xf numFmtId="0" fontId="12" fillId="0" borderId="0" xfId="23" applyFont="1" applyAlignment="1">
      <alignment horizontal="left"/>
    </xf>
    <xf numFmtId="0" fontId="12" fillId="0" borderId="0" xfId="23" applyFont="1"/>
    <xf numFmtId="0" fontId="12" fillId="0" borderId="0" xfId="23" applyFont="1" applyAlignment="1">
      <alignment horizontal="center" vertical="center"/>
    </xf>
    <xf numFmtId="0" fontId="12" fillId="0" borderId="0" xfId="23" applyFont="1" applyAlignment="1">
      <alignment vertical="center"/>
    </xf>
    <xf numFmtId="0" fontId="6" fillId="0" borderId="0" xfId="25" applyFont="1" applyAlignment="1">
      <alignment horizontal="left"/>
    </xf>
    <xf numFmtId="0" fontId="6" fillId="0" borderId="0" xfId="25" applyFont="1"/>
    <xf numFmtId="0" fontId="6" fillId="0" borderId="0" xfId="25" applyFont="1" applyAlignment="1">
      <alignment horizontal="center"/>
    </xf>
    <xf numFmtId="0" fontId="6" fillId="0" borderId="1" xfId="25" applyFont="1" applyBorder="1" applyAlignment="1">
      <alignment horizontal="left"/>
    </xf>
    <xf numFmtId="0" fontId="6" fillId="0" borderId="1" xfId="25" applyFont="1" applyBorder="1" applyAlignment="1">
      <alignment horizontal="center"/>
    </xf>
    <xf numFmtId="0" fontId="12" fillId="0" borderId="1" xfId="23" applyFont="1" applyBorder="1" applyAlignment="1">
      <alignment horizontal="center"/>
    </xf>
    <xf numFmtId="0" fontId="6" fillId="0" borderId="1" xfId="25" applyFont="1" applyBorder="1" applyAlignment="1">
      <alignment vertical="center"/>
    </xf>
    <xf numFmtId="0" fontId="4" fillId="0" borderId="0" xfId="12" applyFont="1" applyAlignment="1">
      <alignment horizontal="center"/>
    </xf>
    <xf numFmtId="0" fontId="4" fillId="0" borderId="0" xfId="0" applyFont="1" applyAlignment="1">
      <alignment horizontal="center"/>
    </xf>
    <xf numFmtId="0" fontId="5" fillId="0" borderId="0" xfId="12" applyFont="1" applyAlignment="1">
      <alignment horizontal="center"/>
    </xf>
    <xf numFmtId="0" fontId="4" fillId="0" borderId="0" xfId="12" applyFont="1" applyAlignment="1">
      <alignment horizontal="left"/>
    </xf>
    <xf numFmtId="0" fontId="5" fillId="0" borderId="0" xfId="3" applyFont="1" applyAlignment="1">
      <alignment horizontal="left"/>
    </xf>
    <xf numFmtId="0" fontId="4" fillId="0" borderId="0" xfId="27" applyFont="1" applyAlignment="1">
      <alignment horizontal="center"/>
    </xf>
    <xf numFmtId="167" fontId="4" fillId="0" borderId="5" xfId="29" applyNumberFormat="1" applyFont="1" applyFill="1" applyBorder="1" applyAlignment="1">
      <alignment horizontal="left"/>
    </xf>
    <xf numFmtId="167" fontId="4" fillId="0" borderId="5" xfId="29" applyNumberFormat="1" applyFont="1" applyFill="1" applyBorder="1" applyAlignment="1">
      <alignment horizontal="center"/>
    </xf>
    <xf numFmtId="0" fontId="5" fillId="0" borderId="0" xfId="25" applyAlignment="1">
      <alignment horizontal="left"/>
    </xf>
    <xf numFmtId="0" fontId="4" fillId="0" borderId="0" xfId="30" applyFont="1" applyAlignment="1">
      <alignment horizontal="center"/>
    </xf>
    <xf numFmtId="0" fontId="4" fillId="0" borderId="1" xfId="23" applyFont="1" applyBorder="1" applyAlignment="1">
      <alignment horizontal="left"/>
    </xf>
    <xf numFmtId="0" fontId="4" fillId="0" borderId="1" xfId="23" applyFont="1" applyBorder="1"/>
    <xf numFmtId="167" fontId="4" fillId="0" borderId="1" xfId="29" applyNumberFormat="1" applyFont="1" applyFill="1" applyBorder="1" applyAlignment="1">
      <alignment horizontal="center"/>
    </xf>
    <xf numFmtId="0" fontId="4" fillId="0" borderId="1" xfId="23" applyFont="1" applyBorder="1" applyAlignment="1">
      <alignment horizontal="center"/>
    </xf>
    <xf numFmtId="0" fontId="4" fillId="0" borderId="3" xfId="12" applyFont="1" applyBorder="1" applyAlignment="1">
      <alignment horizontal="left"/>
    </xf>
    <xf numFmtId="0" fontId="4" fillId="0" borderId="0" xfId="31" applyFont="1" applyAlignment="1">
      <alignment horizontal="left"/>
    </xf>
    <xf numFmtId="0" fontId="26" fillId="0" borderId="0" xfId="23" applyFont="1"/>
    <xf numFmtId="0" fontId="4" fillId="0" borderId="0" xfId="12" applyFont="1"/>
    <xf numFmtId="0" fontId="4" fillId="0" borderId="0" xfId="31" applyFont="1"/>
    <xf numFmtId="0" fontId="3" fillId="0" borderId="0" xfId="12" applyFont="1" applyFill="1"/>
    <xf numFmtId="0" fontId="3" fillId="0" borderId="0" xfId="12" applyFont="1" applyFill="1" applyAlignment="1">
      <alignment horizontal="center"/>
    </xf>
    <xf numFmtId="0" fontId="3" fillId="0" borderId="2" xfId="12" applyFont="1" applyFill="1" applyBorder="1" applyAlignment="1">
      <alignment horizontal="left"/>
    </xf>
    <xf numFmtId="0" fontId="3" fillId="0" borderId="2" xfId="12" applyFont="1" applyFill="1" applyBorder="1" applyAlignment="1">
      <alignment horizontal="center"/>
    </xf>
    <xf numFmtId="0" fontId="3" fillId="0" borderId="2" xfId="12" applyFont="1" applyFill="1" applyBorder="1" applyAlignment="1">
      <alignment horizontal="center" wrapText="1"/>
    </xf>
    <xf numFmtId="0" fontId="3" fillId="0" borderId="4" xfId="12" applyFont="1" applyFill="1" applyBorder="1"/>
    <xf numFmtId="14" fontId="2" fillId="0" borderId="0" xfId="12" applyNumberFormat="1" applyFill="1" applyAlignment="1">
      <alignment horizontal="center"/>
    </xf>
    <xf numFmtId="37" fontId="3" fillId="0" borderId="0" xfId="19" applyNumberFormat="1" applyFont="1" applyFill="1"/>
    <xf numFmtId="44" fontId="3" fillId="0" borderId="0" xfId="35" applyFont="1" applyFill="1"/>
    <xf numFmtId="39" fontId="3" fillId="0" borderId="0" xfId="19" applyNumberFormat="1" applyFont="1" applyFill="1"/>
    <xf numFmtId="173" fontId="3" fillId="0" borderId="0" xfId="35" applyNumberFormat="1" applyFont="1" applyFill="1"/>
    <xf numFmtId="44" fontId="3" fillId="0" borderId="0" xfId="35" applyFont="1" applyFill="1" applyAlignment="1">
      <alignment horizontal="right"/>
    </xf>
    <xf numFmtId="173" fontId="3" fillId="0" borderId="0" xfId="35" applyNumberFormat="1" applyFont="1" applyFill="1" applyAlignment="1">
      <alignment horizontal="right"/>
    </xf>
    <xf numFmtId="177" fontId="3" fillId="0" borderId="0" xfId="21" applyNumberFormat="1" applyFont="1" applyFill="1"/>
    <xf numFmtId="0" fontId="3" fillId="0" borderId="0" xfId="19" applyFont="1" applyFill="1"/>
    <xf numFmtId="14" fontId="3" fillId="0" borderId="0" xfId="12" applyNumberFormat="1" applyFont="1" applyFill="1" applyAlignment="1">
      <alignment horizontal="center"/>
    </xf>
    <xf numFmtId="44" fontId="20" fillId="0" borderId="0" xfId="35" applyFont="1" applyFill="1"/>
    <xf numFmtId="179" fontId="20" fillId="0" borderId="0" xfId="35" applyNumberFormat="1" applyFont="1" applyFill="1"/>
    <xf numFmtId="173" fontId="20" fillId="0" borderId="0" xfId="35" applyNumberFormat="1" applyFont="1" applyFill="1"/>
    <xf numFmtId="173" fontId="3" fillId="0" borderId="3" xfId="35" applyNumberFormat="1" applyFont="1" applyFill="1" applyBorder="1" applyAlignment="1">
      <alignment horizontal="right"/>
    </xf>
    <xf numFmtId="10" fontId="3" fillId="0" borderId="3" xfId="36" applyNumberFormat="1" applyFont="1" applyFill="1" applyBorder="1"/>
    <xf numFmtId="0" fontId="3" fillId="0" borderId="6" xfId="12" applyFont="1" applyFill="1" applyBorder="1"/>
    <xf numFmtId="173" fontId="3" fillId="0" borderId="6" xfId="35" applyNumberFormat="1" applyFont="1" applyFill="1" applyBorder="1"/>
    <xf numFmtId="44" fontId="3" fillId="0" borderId="1" xfId="35" applyFont="1" applyFill="1" applyBorder="1"/>
    <xf numFmtId="177" fontId="3" fillId="0" borderId="1" xfId="36" applyNumberFormat="1" applyFont="1" applyFill="1" applyBorder="1"/>
    <xf numFmtId="7" fontId="3" fillId="0" borderId="0" xfId="12" applyNumberFormat="1" applyFont="1" applyFill="1"/>
    <xf numFmtId="0" fontId="3" fillId="0" borderId="3" xfId="37" applyFont="1" applyFill="1" applyBorder="1" applyAlignment="1">
      <alignment horizontal="left"/>
    </xf>
    <xf numFmtId="0" fontId="3" fillId="0" borderId="0" xfId="37" applyFont="1" applyFill="1" applyAlignment="1">
      <alignment horizontal="left"/>
    </xf>
    <xf numFmtId="0" fontId="4" fillId="0" borderId="1" xfId="23" applyFont="1" applyFill="1" applyBorder="1" applyAlignment="1">
      <alignment horizontal="left"/>
    </xf>
    <xf numFmtId="0" fontId="4" fillId="0" borderId="1" xfId="23" applyFont="1" applyFill="1" applyBorder="1" applyAlignment="1">
      <alignment horizontal="center"/>
    </xf>
    <xf numFmtId="0" fontId="4" fillId="0" borderId="1" xfId="23" applyFont="1" applyFill="1" applyBorder="1"/>
    <xf numFmtId="0" fontId="21" fillId="0" borderId="0" xfId="70" applyFont="1" applyFill="1" applyAlignment="1">
      <alignment horizontal="center" wrapText="1"/>
    </xf>
    <xf numFmtId="2" fontId="3" fillId="0" borderId="0" xfId="12" applyNumberFormat="1" applyFont="1" applyFill="1"/>
    <xf numFmtId="175" fontId="3" fillId="0" borderId="0" xfId="12" quotePrefix="1" applyNumberFormat="1" applyFont="1" applyFill="1" applyAlignment="1">
      <alignment horizontal="center"/>
    </xf>
    <xf numFmtId="175" fontId="3" fillId="0" borderId="0" xfId="12" applyNumberFormat="1" applyFont="1" applyFill="1" applyAlignment="1">
      <alignment horizontal="center"/>
    </xf>
    <xf numFmtId="2" fontId="2" fillId="0" borderId="0" xfId="19" applyNumberFormat="1" applyFill="1" applyAlignment="1">
      <alignment horizontal="center"/>
    </xf>
    <xf numFmtId="43" fontId="1" fillId="0" borderId="0" xfId="75" applyNumberFormat="1">
      <alignment vertical="center"/>
    </xf>
    <xf numFmtId="0" fontId="3" fillId="0" borderId="0" xfId="12" applyFont="1" applyAlignment="1">
      <alignment horizontal="center"/>
    </xf>
    <xf numFmtId="0" fontId="2" fillId="0" borderId="0" xfId="70" applyFont="1" applyAlignment="1">
      <alignment horizontal="center"/>
    </xf>
    <xf numFmtId="44" fontId="2" fillId="0" borderId="0" xfId="19" applyNumberFormat="1" applyFill="1"/>
    <xf numFmtId="10" fontId="5" fillId="0" borderId="0" xfId="7" applyNumberFormat="1" applyFont="1" applyFill="1" applyAlignment="1">
      <alignment horizontal="center" vertical="center" wrapText="1"/>
    </xf>
    <xf numFmtId="166" fontId="5" fillId="0" borderId="0" xfId="7" applyNumberFormat="1" applyFont="1" applyFill="1" applyAlignment="1">
      <alignment horizontal="center" vertical="center" wrapText="1"/>
    </xf>
    <xf numFmtId="0" fontId="2" fillId="0" borderId="6" xfId="19" applyBorder="1" applyAlignment="1">
      <alignment horizontal="centerContinuous"/>
    </xf>
    <xf numFmtId="0" fontId="2" fillId="0" borderId="6" xfId="19" applyBorder="1"/>
    <xf numFmtId="4" fontId="2" fillId="0" borderId="6" xfId="19" applyNumberFormat="1" applyBorder="1" applyAlignment="1">
      <alignment horizontal="center"/>
    </xf>
    <xf numFmtId="0" fontId="19" fillId="0" borderId="0" xfId="20" applyFont="1" applyAlignment="1">
      <alignment horizontal="left" indent="1"/>
    </xf>
    <xf numFmtId="0" fontId="19" fillId="0" borderId="0" xfId="19" applyFont="1"/>
    <xf numFmtId="0" fontId="19" fillId="0" borderId="0" xfId="19" applyFont="1" applyAlignment="1">
      <alignment horizontal="center"/>
    </xf>
    <xf numFmtId="10" fontId="2" fillId="0" borderId="0" xfId="1" applyNumberFormat="1" applyFont="1"/>
    <xf numFmtId="44" fontId="19" fillId="0" borderId="0" xfId="76" applyFont="1"/>
    <xf numFmtId="0" fontId="19" fillId="0" borderId="0" xfId="20" applyFont="1" applyAlignment="1">
      <alignment horizontal="center"/>
    </xf>
    <xf numFmtId="0" fontId="22" fillId="0" borderId="0" xfId="12" applyFont="1" applyAlignment="1">
      <alignment horizontal="center"/>
    </xf>
    <xf numFmtId="10" fontId="22" fillId="0" borderId="0" xfId="12" applyNumberFormat="1" applyFont="1"/>
    <xf numFmtId="0" fontId="5" fillId="0" borderId="0" xfId="12" applyFont="1" applyAlignment="1">
      <alignment horizontal="left"/>
    </xf>
    <xf numFmtId="0" fontId="3" fillId="0" borderId="0" xfId="24" applyAlignment="1">
      <alignment horizontal="left"/>
    </xf>
    <xf numFmtId="0" fontId="3" fillId="0" borderId="0" xfId="24" applyAlignment="1">
      <alignment horizontal="center"/>
    </xf>
    <xf numFmtId="0" fontId="3" fillId="0" borderId="5" xfId="24" applyBorder="1" applyAlignment="1">
      <alignment horizontal="left"/>
    </xf>
    <xf numFmtId="0" fontId="0" fillId="0" borderId="0" xfId="0" applyAlignment="1">
      <alignment horizontal="center"/>
    </xf>
    <xf numFmtId="0" fontId="3" fillId="0" borderId="3" xfId="24" applyBorder="1" applyAlignment="1">
      <alignment horizontal="left"/>
    </xf>
    <xf numFmtId="0" fontId="3" fillId="0" borderId="3" xfId="24" applyBorder="1" applyAlignment="1">
      <alignment horizontal="center"/>
    </xf>
    <xf numFmtId="0" fontId="3" fillId="0" borderId="3" xfId="24" applyBorder="1" applyAlignment="1">
      <alignment horizontal="center" wrapText="1"/>
    </xf>
    <xf numFmtId="0" fontId="3" fillId="0" borderId="0" xfId="24" applyAlignment="1">
      <alignment horizontal="center" wrapText="1"/>
    </xf>
    <xf numFmtId="0" fontId="2" fillId="0" borderId="0" xfId="12" applyAlignment="1">
      <alignment horizontal="left"/>
    </xf>
    <xf numFmtId="0" fontId="3" fillId="0" borderId="0" xfId="12" applyFont="1" applyAlignment="1">
      <alignment horizontal="left"/>
    </xf>
    <xf numFmtId="0" fontId="21" fillId="0" borderId="1" xfId="0" applyFont="1" applyBorder="1"/>
    <xf numFmtId="0" fontId="12" fillId="0" borderId="0" xfId="30" applyFont="1" applyAlignment="1">
      <alignment horizontal="center"/>
    </xf>
    <xf numFmtId="0" fontId="4" fillId="0" borderId="0" xfId="30" applyFont="1"/>
    <xf numFmtId="0" fontId="2" fillId="0" borderId="0" xfId="30" applyAlignment="1">
      <alignment horizontal="left"/>
    </xf>
    <xf numFmtId="0" fontId="3" fillId="0" borderId="0" xfId="30" applyFont="1" applyAlignment="1">
      <alignment horizontal="left"/>
    </xf>
    <xf numFmtId="0" fontId="3" fillId="0" borderId="9" xfId="32" applyBorder="1" applyAlignment="1">
      <alignment horizontal="left" vertical="center"/>
    </xf>
    <xf numFmtId="0" fontId="3" fillId="0" borderId="9" xfId="19" applyFont="1" applyBorder="1" applyAlignment="1">
      <alignment horizontal="left" vertical="center"/>
    </xf>
    <xf numFmtId="0" fontId="3" fillId="0" borderId="9" xfId="12" applyFont="1" applyBorder="1" applyAlignment="1">
      <alignment horizontal="center" wrapText="1"/>
    </xf>
    <xf numFmtId="2" fontId="3" fillId="0" borderId="9" xfId="19" applyNumberFormat="1" applyFont="1" applyBorder="1" applyAlignment="1">
      <alignment horizontal="center" vertical="center"/>
    </xf>
    <xf numFmtId="0" fontId="2" fillId="0" borderId="9" xfId="12" applyBorder="1" applyAlignment="1">
      <alignment horizontal="left"/>
    </xf>
    <xf numFmtId="0" fontId="2" fillId="0" borderId="1" xfId="23" applyFont="1" applyBorder="1"/>
    <xf numFmtId="0" fontId="3" fillId="0" borderId="6" xfId="19" applyFont="1" applyBorder="1" applyAlignment="1">
      <alignment horizontal="left"/>
    </xf>
    <xf numFmtId="1" fontId="2" fillId="0" borderId="6" xfId="19" applyNumberFormat="1" applyBorder="1" applyAlignment="1">
      <alignment horizontal="center"/>
    </xf>
    <xf numFmtId="0" fontId="3" fillId="0" borderId="3" xfId="33" applyFont="1" applyBorder="1" applyAlignment="1">
      <alignment horizontal="left"/>
    </xf>
    <xf numFmtId="0" fontId="0" fillId="0" borderId="0" xfId="24" applyFont="1" applyAlignment="1">
      <alignment horizontal="left"/>
    </xf>
    <xf numFmtId="0" fontId="3" fillId="0" borderId="0" xfId="12" applyFont="1" applyBorder="1" applyAlignment="1">
      <alignment horizontal="left"/>
    </xf>
    <xf numFmtId="0" fontId="3" fillId="0" borderId="0" xfId="12" applyFont="1" applyBorder="1"/>
    <xf numFmtId="10" fontId="2" fillId="0" borderId="0" xfId="12" applyNumberFormat="1" applyBorder="1" applyAlignment="1">
      <alignment horizontal="center"/>
    </xf>
    <xf numFmtId="0" fontId="2" fillId="0" borderId="3" xfId="77" applyFont="1" applyBorder="1" applyAlignment="1">
      <alignment horizontal="center"/>
    </xf>
    <xf numFmtId="10" fontId="3" fillId="0" borderId="0" xfId="78" applyNumberFormat="1" applyFont="1" applyFill="1" applyBorder="1" applyAlignment="1">
      <alignment horizontal="center"/>
    </xf>
    <xf numFmtId="10" fontId="2" fillId="0" borderId="4" xfId="79" applyNumberFormat="1" applyFont="1" applyBorder="1" applyAlignment="1">
      <alignment horizontal="center"/>
    </xf>
    <xf numFmtId="10" fontId="2" fillId="0" borderId="0" xfId="79" applyNumberFormat="1" applyFont="1" applyAlignment="1">
      <alignment horizontal="center"/>
    </xf>
    <xf numFmtId="10" fontId="2" fillId="0" borderId="1" xfId="79" applyNumberFormat="1" applyFont="1" applyBorder="1" applyAlignment="1">
      <alignment horizontal="center"/>
    </xf>
    <xf numFmtId="10" fontId="3" fillId="0" borderId="3" xfId="78" applyNumberFormat="1" applyFont="1" applyFill="1" applyBorder="1" applyAlignment="1">
      <alignment horizontal="center"/>
    </xf>
    <xf numFmtId="0" fontId="2" fillId="0" borderId="3" xfId="70" applyFont="1" applyBorder="1" applyAlignment="1">
      <alignment horizontal="left" wrapText="1"/>
    </xf>
    <xf numFmtId="0" fontId="2" fillId="0" borderId="3" xfId="10" applyFont="1" applyBorder="1" applyAlignment="1">
      <alignment horizontal="center"/>
    </xf>
    <xf numFmtId="10" fontId="3" fillId="0" borderId="3" xfId="49" applyNumberFormat="1" applyFont="1" applyFill="1" applyBorder="1" applyAlignment="1">
      <alignment horizontal="center"/>
    </xf>
    <xf numFmtId="10" fontId="2" fillId="0" borderId="3" xfId="70" applyNumberFormat="1" applyFont="1" applyBorder="1" applyAlignment="1">
      <alignment horizontal="center"/>
    </xf>
    <xf numFmtId="0" fontId="29" fillId="0" borderId="0" xfId="73" applyFont="1" applyAlignment="1">
      <alignment horizontal="centerContinuous"/>
    </xf>
    <xf numFmtId="0" fontId="3" fillId="0" borderId="0" xfId="73" applyFont="1" applyAlignment="1">
      <alignment horizontal="centerContinuous"/>
    </xf>
    <xf numFmtId="0" fontId="3" fillId="0" borderId="0" xfId="73" applyFont="1"/>
    <xf numFmtId="0" fontId="29" fillId="0" borderId="0" xfId="73" applyFont="1" applyAlignment="1">
      <alignment horizontal="center"/>
    </xf>
    <xf numFmtId="0" fontId="29" fillId="0" borderId="3" xfId="73" applyFont="1" applyBorder="1" applyAlignment="1">
      <alignment horizontal="centerContinuous"/>
    </xf>
    <xf numFmtId="0" fontId="3" fillId="0" borderId="3" xfId="73" applyFont="1" applyBorder="1" applyAlignment="1">
      <alignment horizontal="centerContinuous"/>
    </xf>
    <xf numFmtId="0" fontId="29" fillId="0" borderId="3" xfId="73" applyFont="1" applyBorder="1" applyAlignment="1">
      <alignment horizontal="center"/>
    </xf>
    <xf numFmtId="0" fontId="30" fillId="0" borderId="0" xfId="73" applyFont="1" applyAlignment="1">
      <alignment horizontal="center"/>
    </xf>
    <xf numFmtId="0" fontId="30" fillId="0" borderId="0" xfId="73" applyFont="1" applyAlignment="1">
      <alignment horizontal="centerContinuous"/>
    </xf>
    <xf numFmtId="0" fontId="30" fillId="0" borderId="0" xfId="73" applyFont="1"/>
    <xf numFmtId="37" fontId="3" fillId="0" borderId="0" xfId="73" applyNumberFormat="1" applyFont="1"/>
    <xf numFmtId="177" fontId="3" fillId="0" borderId="0" xfId="73" applyNumberFormat="1" applyFont="1"/>
    <xf numFmtId="182" fontId="3" fillId="0" borderId="0" xfId="73" applyNumberFormat="1" applyFont="1" applyAlignment="1">
      <alignment horizontal="center"/>
    </xf>
    <xf numFmtId="183" fontId="3" fillId="0" borderId="0" xfId="73" applyNumberFormat="1" applyFont="1" applyAlignment="1">
      <alignment horizontal="center"/>
    </xf>
    <xf numFmtId="184" fontId="3" fillId="0" borderId="0" xfId="73" applyNumberFormat="1" applyFont="1" applyAlignment="1">
      <alignment horizontal="right"/>
    </xf>
    <xf numFmtId="5" fontId="3" fillId="0" borderId="0" xfId="73" applyNumberFormat="1" applyFont="1" applyAlignment="1">
      <alignment horizontal="left" indent="1"/>
    </xf>
    <xf numFmtId="0" fontId="2" fillId="0" borderId="0" xfId="73" applyFont="1"/>
    <xf numFmtId="37" fontId="2" fillId="0" borderId="0" xfId="73" applyNumberFormat="1" applyFont="1"/>
    <xf numFmtId="182" fontId="2" fillId="0" borderId="0" xfId="73" applyNumberFormat="1" applyFont="1" applyAlignment="1">
      <alignment horizontal="center"/>
    </xf>
    <xf numFmtId="183" fontId="2" fillId="0" borderId="0" xfId="73" applyNumberFormat="1" applyFont="1" applyAlignment="1">
      <alignment horizontal="center"/>
    </xf>
    <xf numFmtId="184" fontId="2" fillId="0" borderId="0" xfId="73" applyNumberFormat="1" applyFont="1" applyAlignment="1">
      <alignment horizontal="right"/>
    </xf>
    <xf numFmtId="0" fontId="31" fillId="0" borderId="0" xfId="73" applyFont="1"/>
    <xf numFmtId="5" fontId="31" fillId="0" borderId="0" xfId="73" applyNumberFormat="1" applyFont="1" applyAlignment="1">
      <alignment horizontal="left" indent="1"/>
    </xf>
    <xf numFmtId="37" fontId="2" fillId="0" borderId="3" xfId="73" applyNumberFormat="1" applyFont="1" applyBorder="1"/>
    <xf numFmtId="0" fontId="29" fillId="0" borderId="0" xfId="73" applyFont="1"/>
    <xf numFmtId="37" fontId="29" fillId="0" borderId="3" xfId="73" applyNumberFormat="1" applyFont="1" applyBorder="1"/>
    <xf numFmtId="176" fontId="3" fillId="0" borderId="0" xfId="58" applyNumberFormat="1" applyFont="1" applyFill="1" applyBorder="1"/>
    <xf numFmtId="180" fontId="3" fillId="0" borderId="0" xfId="73" applyNumberFormat="1" applyFont="1"/>
    <xf numFmtId="43" fontId="3" fillId="0" borderId="0" xfId="80" applyFont="1"/>
    <xf numFmtId="37" fontId="3" fillId="0" borderId="3" xfId="73" applyNumberFormat="1" applyFont="1" applyBorder="1"/>
    <xf numFmtId="0" fontId="3" fillId="0" borderId="3" xfId="73" applyFont="1" applyBorder="1"/>
    <xf numFmtId="177" fontId="29" fillId="0" borderId="0" xfId="73" applyNumberFormat="1" applyFont="1"/>
    <xf numFmtId="177" fontId="29" fillId="0" borderId="0" xfId="9" applyNumberFormat="1" applyFont="1" applyBorder="1" applyProtection="1"/>
    <xf numFmtId="5" fontId="29" fillId="0" borderId="11" xfId="73" applyNumberFormat="1" applyFont="1" applyBorder="1"/>
    <xf numFmtId="10" fontId="29" fillId="0" borderId="0" xfId="9" applyNumberFormat="1" applyFont="1" applyBorder="1" applyProtection="1"/>
    <xf numFmtId="10" fontId="29" fillId="0" borderId="0" xfId="73" applyNumberFormat="1" applyFont="1" applyAlignment="1">
      <alignment horizontal="left"/>
    </xf>
    <xf numFmtId="177" fontId="2" fillId="0" borderId="0" xfId="9" applyNumberFormat="1" applyFont="1"/>
    <xf numFmtId="10" fontId="29" fillId="0" borderId="0" xfId="9" applyNumberFormat="1" applyFont="1" applyFill="1" applyBorder="1" applyProtection="1"/>
    <xf numFmtId="177" fontId="32" fillId="0" borderId="0" xfId="73" applyNumberFormat="1" applyFont="1" applyAlignment="1">
      <alignment horizontal="right" indent="1"/>
    </xf>
    <xf numFmtId="0" fontId="22" fillId="0" borderId="0" xfId="73" applyFont="1"/>
    <xf numFmtId="177" fontId="22" fillId="0" borderId="0" xfId="9" applyNumberFormat="1" applyFont="1" applyFill="1"/>
    <xf numFmtId="0" fontId="32" fillId="0" borderId="0" xfId="73" applyFont="1"/>
    <xf numFmtId="10" fontId="32" fillId="0" borderId="0" xfId="73" applyNumberFormat="1" applyFont="1" applyAlignment="1">
      <alignment horizontal="left"/>
    </xf>
    <xf numFmtId="10" fontId="32" fillId="0" borderId="0" xfId="9" applyNumberFormat="1" applyFont="1" applyFill="1" applyBorder="1" applyProtection="1"/>
    <xf numFmtId="177" fontId="32" fillId="0" borderId="0" xfId="73" applyNumberFormat="1" applyFont="1"/>
    <xf numFmtId="0" fontId="32" fillId="0" borderId="0" xfId="73" applyFont="1" applyAlignment="1">
      <alignment horizontal="right"/>
    </xf>
    <xf numFmtId="5" fontId="33" fillId="0" borderId="0" xfId="73" applyNumberFormat="1" applyFont="1"/>
    <xf numFmtId="0" fontId="3" fillId="0" borderId="0" xfId="73" applyFont="1" applyAlignment="1">
      <alignment horizontal="left" indent="1"/>
    </xf>
    <xf numFmtId="0" fontId="3" fillId="0" borderId="0" xfId="73" applyFont="1" applyAlignment="1">
      <alignment horizontal="left"/>
    </xf>
    <xf numFmtId="176" fontId="3" fillId="0" borderId="0" xfId="73" applyNumberFormat="1" applyFont="1"/>
    <xf numFmtId="0" fontId="29" fillId="0" borderId="0" xfId="73" applyFont="1" applyBorder="1" applyAlignment="1">
      <alignment horizontal="center"/>
    </xf>
    <xf numFmtId="177" fontId="3" fillId="0" borderId="0" xfId="73" applyNumberFormat="1" applyFont="1" applyAlignment="1">
      <alignment horizontal="center"/>
    </xf>
    <xf numFmtId="37" fontId="2" fillId="0" borderId="0" xfId="73" applyNumberFormat="1" applyFont="1" applyBorder="1"/>
    <xf numFmtId="0" fontId="21" fillId="0" borderId="0" xfId="37" applyFont="1" applyAlignment="1">
      <alignment horizontal="center" vertical="center"/>
    </xf>
    <xf numFmtId="0" fontId="21" fillId="0" borderId="3" xfId="37" applyFont="1" applyBorder="1" applyAlignment="1">
      <alignment horizontal="center" vertical="center"/>
    </xf>
    <xf numFmtId="10" fontId="3" fillId="0" borderId="0" xfId="1" applyNumberFormat="1" applyFont="1"/>
    <xf numFmtId="0" fontId="6" fillId="0" borderId="0" xfId="5" applyFont="1" applyAlignment="1">
      <alignment horizontal="center" wrapText="1"/>
    </xf>
    <xf numFmtId="0" fontId="7" fillId="3" borderId="9" xfId="5" applyFont="1" applyFill="1" applyBorder="1" applyAlignment="1">
      <alignment horizontal="center" vertical="center" wrapText="1"/>
    </xf>
    <xf numFmtId="0" fontId="6" fillId="0" borderId="0" xfId="3" applyFont="1" applyAlignment="1">
      <alignment horizontal="center"/>
    </xf>
    <xf numFmtId="0" fontId="4" fillId="0" borderId="0" xfId="0" applyFont="1" applyFill="1" applyAlignment="1">
      <alignment horizontal="center"/>
    </xf>
    <xf numFmtId="0" fontId="4" fillId="0" borderId="0" xfId="0" applyFont="1" applyFill="1" applyBorder="1" applyAlignment="1">
      <alignment horizontal="center"/>
    </xf>
    <xf numFmtId="0" fontId="6" fillId="0" borderId="0" xfId="0" applyFont="1" applyFill="1" applyAlignment="1">
      <alignment horizontal="center"/>
    </xf>
    <xf numFmtId="0" fontId="4" fillId="0" borderId="0" xfId="3" applyFont="1" applyFill="1" applyAlignment="1">
      <alignment horizontal="center"/>
    </xf>
    <xf numFmtId="0" fontId="12" fillId="0" borderId="0" xfId="0" applyFont="1" applyFill="1" applyAlignment="1">
      <alignment horizontal="center"/>
    </xf>
    <xf numFmtId="0" fontId="6" fillId="0" borderId="0" xfId="0" applyFont="1" applyAlignment="1">
      <alignment horizontal="center"/>
    </xf>
    <xf numFmtId="0" fontId="14" fillId="0" borderId="0" xfId="0" applyFont="1" applyAlignment="1">
      <alignment horizontal="center"/>
    </xf>
    <xf numFmtId="0" fontId="12" fillId="0" borderId="0" xfId="6" applyFont="1" applyAlignment="1">
      <alignment horizontal="center" vertical="center"/>
    </xf>
    <xf numFmtId="0" fontId="17" fillId="0" borderId="0" xfId="12" applyFont="1" applyAlignment="1">
      <alignment horizontal="center"/>
    </xf>
    <xf numFmtId="0" fontId="27" fillId="0" borderId="0" xfId="24" applyFont="1" applyAlignment="1">
      <alignment horizontal="center"/>
    </xf>
    <xf numFmtId="0" fontId="28" fillId="0" borderId="0" xfId="30" applyFont="1" applyAlignment="1">
      <alignment horizontal="center"/>
    </xf>
    <xf numFmtId="0" fontId="3" fillId="0" borderId="2" xfId="24" applyBorder="1" applyAlignment="1">
      <alignment horizontal="center"/>
    </xf>
    <xf numFmtId="0" fontId="4" fillId="0" borderId="0" xfId="12" applyFont="1" applyAlignment="1">
      <alignment horizontal="center"/>
    </xf>
    <xf numFmtId="0" fontId="21" fillId="0" borderId="0" xfId="24" applyFont="1" applyAlignment="1">
      <alignment horizontal="center"/>
    </xf>
    <xf numFmtId="0" fontId="3" fillId="0" borderId="0" xfId="12" applyFont="1" applyAlignment="1">
      <alignment horizontal="center"/>
    </xf>
    <xf numFmtId="0" fontId="2" fillId="0" borderId="0" xfId="70" applyFont="1" applyAlignment="1">
      <alignment horizontal="left" vertical="top" wrapText="1"/>
    </xf>
    <xf numFmtId="0" fontId="2" fillId="0" borderId="0" xfId="70" applyFont="1" applyAlignment="1">
      <alignment horizontal="left" wrapText="1"/>
    </xf>
    <xf numFmtId="0" fontId="2" fillId="0" borderId="10" xfId="70" applyFont="1" applyBorder="1" applyAlignment="1">
      <alignment horizontal="center"/>
    </xf>
    <xf numFmtId="0" fontId="2" fillId="0" borderId="0" xfId="70" applyFont="1" applyBorder="1" applyAlignment="1">
      <alignment horizontal="center"/>
    </xf>
    <xf numFmtId="0" fontId="2" fillId="0" borderId="0" xfId="70" quotePrefix="1" applyFont="1" applyAlignment="1">
      <alignment horizontal="center"/>
    </xf>
    <xf numFmtId="0" fontId="2" fillId="0" borderId="0" xfId="70" applyFont="1" applyAlignment="1">
      <alignment horizontal="center"/>
    </xf>
    <xf numFmtId="0" fontId="29" fillId="0" borderId="0" xfId="73" applyFont="1" applyAlignment="1">
      <alignment horizontal="center"/>
    </xf>
    <xf numFmtId="10" fontId="2" fillId="0" borderId="0" xfId="37" applyNumberFormat="1" applyFont="1" applyAlignment="1">
      <alignment horizontal="center"/>
    </xf>
  </cellXfs>
  <cellStyles count="81">
    <cellStyle name="Comma" xfId="80" builtinId="3"/>
    <cellStyle name="Comma 10" xfId="56" xr:uid="{00000000-0005-0000-0000-000001000000}"/>
    <cellStyle name="Comma 101" xfId="17" xr:uid="{00000000-0005-0000-0000-000002000000}"/>
    <cellStyle name="Comma 103" xfId="16" xr:uid="{00000000-0005-0000-0000-000003000000}"/>
    <cellStyle name="Comma 2" xfId="34" xr:uid="{00000000-0005-0000-0000-000004000000}"/>
    <cellStyle name="Comma 2 2 2 10" xfId="58" xr:uid="{00000000-0005-0000-0000-000005000000}"/>
    <cellStyle name="Comma 3" xfId="57" xr:uid="{00000000-0005-0000-0000-000006000000}"/>
    <cellStyle name="Comma 88 2 2" xfId="22" xr:uid="{00000000-0005-0000-0000-000007000000}"/>
    <cellStyle name="Comma 99" xfId="65" xr:uid="{B392839C-31E2-4834-9E4C-86C98236DE74}"/>
    <cellStyle name="Currency" xfId="76" builtinId="4"/>
    <cellStyle name="Currency 2 10" xfId="35" xr:uid="{00000000-0005-0000-0000-000009000000}"/>
    <cellStyle name="Currency 34 2 3" xfId="66" xr:uid="{D9B909CF-7050-451E-AA4B-F6DDE067DEB2}"/>
    <cellStyle name="Currency 38" xfId="39" xr:uid="{00000000-0005-0000-0000-00000A000000}"/>
    <cellStyle name="Normal" xfId="0" builtinId="0"/>
    <cellStyle name="Normal 10 10" xfId="12" xr:uid="{00000000-0005-0000-0000-00000C000000}"/>
    <cellStyle name="Normal 10 10 3 2" xfId="26" xr:uid="{00000000-0005-0000-0000-00000D000000}"/>
    <cellStyle name="Normal 10 10 6 2" xfId="31" xr:uid="{00000000-0005-0000-0000-00000E000000}"/>
    <cellStyle name="Normal 10 10 8" xfId="30" xr:uid="{00000000-0005-0000-0000-00000F000000}"/>
    <cellStyle name="Normal 10 11" xfId="33" xr:uid="{00000000-0005-0000-0000-000010000000}"/>
    <cellStyle name="Normal 10 11 4" xfId="69" xr:uid="{7AB031A0-B495-4792-9C4B-25718BC3C88B}"/>
    <cellStyle name="Normal 10 21 3" xfId="55" xr:uid="{00000000-0005-0000-0000-000011000000}"/>
    <cellStyle name="Normal 10 23 2" xfId="32" xr:uid="{00000000-0005-0000-0000-000012000000}"/>
    <cellStyle name="Normal 12 10 2" xfId="67" xr:uid="{79E2341D-AEBC-4C3D-A038-7C143F37C80A}"/>
    <cellStyle name="Normal 15" xfId="63" xr:uid="{C3C17163-7DE6-40CE-8E91-B50203206987}"/>
    <cellStyle name="Normal 16 5" xfId="74" xr:uid="{D7F53128-07F5-4310-9C3B-8B3B4A8B14FF}"/>
    <cellStyle name="Normal 195 2" xfId="3" xr:uid="{00000000-0005-0000-0000-000013000000}"/>
    <cellStyle name="Normal 199 2 3" xfId="20" xr:uid="{00000000-0005-0000-0000-000014000000}"/>
    <cellStyle name="Normal 199 2 3 2" xfId="77" xr:uid="{D4D06256-8433-4CCD-896C-ECEE37DE245C}"/>
    <cellStyle name="Normal 2" xfId="2" xr:uid="{00000000-0005-0000-0000-000015000000}"/>
    <cellStyle name="Normal 2 10 2" xfId="10" xr:uid="{00000000-0005-0000-0000-000016000000}"/>
    <cellStyle name="Normal 2 10 9 2" xfId="37" xr:uid="{00000000-0005-0000-0000-000017000000}"/>
    <cellStyle name="Normal 2 10 9 2 2" xfId="61" xr:uid="{00000000-0005-0000-0000-000018000000}"/>
    <cellStyle name="Normal 2 10 9 3" xfId="60" xr:uid="{00000000-0005-0000-0000-000019000000}"/>
    <cellStyle name="Normal 2 142 2 3" xfId="19" xr:uid="{00000000-0005-0000-0000-00001A000000}"/>
    <cellStyle name="Normal 2 146" xfId="75" xr:uid="{1EEFA9DE-A328-4B1B-91BA-0B441ED0006F}"/>
    <cellStyle name="Normal 2 146 2 2 2 2 3" xfId="28" xr:uid="{00000000-0005-0000-0000-00001B000000}"/>
    <cellStyle name="Normal 2 147" xfId="44" xr:uid="{00000000-0005-0000-0000-00001C000000}"/>
    <cellStyle name="Normal 2 2" xfId="8" xr:uid="{00000000-0005-0000-0000-00001D000000}"/>
    <cellStyle name="Normal 2 5 14" xfId="73" xr:uid="{00721AB7-B2AA-4988-A2ED-7FBBDCDB6B17}"/>
    <cellStyle name="Normal 239" xfId="45" xr:uid="{00000000-0005-0000-0000-00001E000000}"/>
    <cellStyle name="Normal 246" xfId="5" xr:uid="{00000000-0005-0000-0000-00001F000000}"/>
    <cellStyle name="Normal 246 2" xfId="7" xr:uid="{00000000-0005-0000-0000-000020000000}"/>
    <cellStyle name="Normal 250 3" xfId="51" xr:uid="{00000000-0005-0000-0000-000021000000}"/>
    <cellStyle name="Normal 250 5" xfId="79" xr:uid="{1EBF76AC-E09A-448E-B392-A40733730493}"/>
    <cellStyle name="Normal 251" xfId="70" xr:uid="{1B8B9FAA-F1C6-4B53-9C7B-D513C79F38B8}"/>
    <cellStyle name="Normal 252" xfId="48" xr:uid="{00000000-0005-0000-0000-000022000000}"/>
    <cellStyle name="Normal 253" xfId="38" xr:uid="{00000000-0005-0000-0000-000023000000}"/>
    <cellStyle name="Normal 253 2" xfId="40" xr:uid="{00000000-0005-0000-0000-000024000000}"/>
    <cellStyle name="Normal 267" xfId="13" xr:uid="{00000000-0005-0000-0000-000025000000}"/>
    <cellStyle name="Normal 3" xfId="6" xr:uid="{00000000-0005-0000-0000-000026000000}"/>
    <cellStyle name="Normal 3 5 2" xfId="71" xr:uid="{831049F6-E440-413A-8ED2-C3A5FBD549B3}"/>
    <cellStyle name="Normal 4" xfId="18" xr:uid="{00000000-0005-0000-0000-000027000000}"/>
    <cellStyle name="Normal 41" xfId="24" xr:uid="{00000000-0005-0000-0000-000028000000}"/>
    <cellStyle name="Normal 5" xfId="41" xr:uid="{00000000-0005-0000-0000-000029000000}"/>
    <cellStyle name="Normal 5 10 3" xfId="50" xr:uid="{00000000-0005-0000-0000-00002A000000}"/>
    <cellStyle name="Normal 6" xfId="42" xr:uid="{00000000-0005-0000-0000-00002B000000}"/>
    <cellStyle name="Normal 6 14 3" xfId="64" xr:uid="{BF490BED-3F38-41FC-AFCC-FCFFCC771079}"/>
    <cellStyle name="Normal 6 2 5" xfId="27" xr:uid="{00000000-0005-0000-0000-00002C000000}"/>
    <cellStyle name="Normal 7" xfId="62" xr:uid="{00000000-0005-0000-0000-00002D000000}"/>
    <cellStyle name="Normal 7 94" xfId="25" xr:uid="{00000000-0005-0000-0000-00002E000000}"/>
    <cellStyle name="Normal 8 96 2 2 2 2 3" xfId="23" xr:uid="{00000000-0005-0000-0000-00002F000000}"/>
    <cellStyle name="Percent" xfId="1" builtinId="5"/>
    <cellStyle name="Percent 10" xfId="47" xr:uid="{00000000-0005-0000-0000-000031000000}"/>
    <cellStyle name="Percent 100" xfId="43" xr:uid="{00000000-0005-0000-0000-000032000000}"/>
    <cellStyle name="Percent 2" xfId="9" xr:uid="{00000000-0005-0000-0000-000033000000}"/>
    <cellStyle name="Percent 2 155 2" xfId="36" xr:uid="{00000000-0005-0000-0000-000034000000}"/>
    <cellStyle name="Percent 2 155 2 2 2 2" xfId="53" xr:uid="{00000000-0005-0000-0000-000035000000}"/>
    <cellStyle name="Percent 2 155 2 3" xfId="59" xr:uid="{00000000-0005-0000-0000-000036000000}"/>
    <cellStyle name="Percent 2 156 2" xfId="54" xr:uid="{00000000-0005-0000-0000-000037000000}"/>
    <cellStyle name="Percent 2 16" xfId="11" xr:uid="{00000000-0005-0000-0000-000038000000}"/>
    <cellStyle name="Percent 4 65 2 2 2" xfId="4" xr:uid="{00000000-0005-0000-0000-000039000000}"/>
    <cellStyle name="Percent 6 4 2 2" xfId="72" xr:uid="{10AB0CBE-CA9D-429C-A1C2-7F037ABA210B}"/>
    <cellStyle name="Percent 6 4 2 3" xfId="49" xr:uid="{00000000-0005-0000-0000-00003A000000}"/>
    <cellStyle name="Percent 6 4 2 4" xfId="78" xr:uid="{E34B0FD1-ECAC-4C7A-BBDF-ACD91DF5D1DC}"/>
    <cellStyle name="Percent 80 2 3" xfId="21" xr:uid="{00000000-0005-0000-0000-00003B000000}"/>
    <cellStyle name="Percent 88" xfId="46" xr:uid="{00000000-0005-0000-0000-00003C000000}"/>
    <cellStyle name="Percent 89 2 2" xfId="52" xr:uid="{00000000-0005-0000-0000-00003D000000}"/>
    <cellStyle name="Percent 94 2 2" xfId="68" xr:uid="{816CA589-13B6-4246-8E7B-1D475CD40109}"/>
    <cellStyle name="Percent 95 2" xfId="14" xr:uid="{00000000-0005-0000-0000-00003E000000}"/>
    <cellStyle name="Percent 95 2 2" xfId="29" xr:uid="{00000000-0005-0000-0000-00003F000000}"/>
    <cellStyle name="Percent 96" xfId="15" xr:uid="{00000000-0005-0000-0000-000040000000}"/>
  </cellStyles>
  <dxfs count="82">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rgb="FFFFC000"/>
        </patternFill>
      </fill>
    </dxf>
    <dxf>
      <fill>
        <patternFill>
          <bgColor theme="6"/>
        </patternFill>
      </fill>
    </dxf>
    <dxf>
      <fill>
        <patternFill>
          <bgColor theme="6"/>
        </patternFill>
      </fill>
    </dxf>
    <dxf>
      <fill>
        <patternFill>
          <bgColor theme="6"/>
        </patternFill>
      </fill>
    </dxf>
    <dxf>
      <fill>
        <patternFill>
          <bgColor theme="6"/>
        </patternFill>
      </fill>
    </dxf>
    <dxf>
      <fill>
        <patternFill>
          <bgColor rgb="FFFFC000"/>
        </patternFill>
      </fill>
    </dxf>
    <dxf>
      <fill>
        <patternFill>
          <bgColor theme="6"/>
        </patternFill>
      </fill>
    </dxf>
    <dxf>
      <fill>
        <patternFill>
          <bgColor theme="6"/>
        </patternFill>
      </fill>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6"/>
        </patternFill>
      </fill>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6"/>
        </patternFill>
      </fill>
    </dxf>
    <dxf>
      <fill>
        <patternFill>
          <bgColor theme="9"/>
        </patternFill>
      </fill>
    </dxf>
    <dxf>
      <fill>
        <patternFill>
          <bgColor theme="9"/>
        </patternFill>
      </fill>
    </dxf>
    <dxf>
      <fill>
        <patternFill>
          <bgColor theme="6"/>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651109168137E-2"/>
          <c:y val="5.2425181063262237E-2"/>
          <c:w val="0.90801958413493755"/>
          <c:h val="0.89534282300833379"/>
        </c:manualLayout>
      </c:layout>
      <c:scatterChart>
        <c:scatterStyle val="lineMarker"/>
        <c:varyColors val="0"/>
        <c:ser>
          <c:idx val="1"/>
          <c:order val="0"/>
          <c:tx>
            <c:strRef>
              <c:f>'AEB-2 Summary'!$K$5</c:f>
              <c:strCache>
                <c:ptCount val="1"/>
                <c:pt idx="0">
                  <c:v>Constant Growth Mean DCF</c:v>
                </c:pt>
              </c:strCache>
            </c:strRef>
          </c:tx>
          <c:spPr>
            <a:ln w="19050" cap="rnd">
              <a:solidFill>
                <a:schemeClr val="tx1"/>
              </a:solidFill>
              <a:round/>
            </a:ln>
            <a:effectLst/>
          </c:spPr>
          <c:marker>
            <c:symbol val="none"/>
          </c:marker>
          <c:xVal>
            <c:numRef>
              <c:f>'AEB-2 Summary'!$L$5:$L$7</c:f>
              <c:numCache>
                <c:formatCode>0.00%</c:formatCode>
                <c:ptCount val="3"/>
                <c:pt idx="0">
                  <c:v>9.126407228230228E-2</c:v>
                </c:pt>
                <c:pt idx="1">
                  <c:v>0.10231873379062795</c:v>
                </c:pt>
                <c:pt idx="2">
                  <c:v>0.11368592656123226</c:v>
                </c:pt>
              </c:numCache>
            </c:numRef>
          </c:xVal>
          <c:yVal>
            <c:numRef>
              <c:f>'AEB-2 Summary'!$M$5:$M$7</c:f>
              <c:numCache>
                <c:formatCode>0.0</c:formatCode>
                <c:ptCount val="3"/>
                <c:pt idx="0">
                  <c:v>8</c:v>
                </c:pt>
                <c:pt idx="1">
                  <c:v>8</c:v>
                </c:pt>
                <c:pt idx="2">
                  <c:v>8</c:v>
                </c:pt>
              </c:numCache>
            </c:numRef>
          </c:yVal>
          <c:smooth val="0"/>
          <c:extLst>
            <c:ext xmlns:c16="http://schemas.microsoft.com/office/drawing/2014/chart" uri="{C3380CC4-5D6E-409C-BE32-E72D297353CC}">
              <c16:uniqueId val="{00000000-E12D-4B7C-A4C1-64191F859E94}"/>
            </c:ext>
          </c:extLst>
        </c:ser>
        <c:ser>
          <c:idx val="7"/>
          <c:order val="1"/>
          <c:tx>
            <c:strRef>
              <c:f>'AEB-2 Summary'!$K$8</c:f>
              <c:strCache>
                <c:ptCount val="1"/>
                <c:pt idx="0">
                  <c:v>Constant Growth Median DCF</c:v>
                </c:pt>
              </c:strCache>
            </c:strRef>
          </c:tx>
          <c:spPr>
            <a:ln w="19050" cap="rnd">
              <a:solidFill>
                <a:schemeClr val="tx1"/>
              </a:solidFill>
              <a:round/>
            </a:ln>
            <a:effectLst/>
          </c:spPr>
          <c:marker>
            <c:symbol val="none"/>
          </c:marker>
          <c:xVal>
            <c:numRef>
              <c:f>'AEB-2 Summary'!$L$8:$L$10</c:f>
              <c:numCache>
                <c:formatCode>0.00%</c:formatCode>
                <c:ptCount val="3"/>
                <c:pt idx="0">
                  <c:v>9.7044510755787905E-2</c:v>
                </c:pt>
                <c:pt idx="1">
                  <c:v>0.10096619795694729</c:v>
                </c:pt>
                <c:pt idx="2">
                  <c:v>0.11611787403209972</c:v>
                </c:pt>
              </c:numCache>
            </c:numRef>
          </c:xVal>
          <c:yVal>
            <c:numRef>
              <c:f>'AEB-2 Summary'!$M$8:$M$10</c:f>
              <c:numCache>
                <c:formatCode>0.0</c:formatCode>
                <c:ptCount val="3"/>
                <c:pt idx="0">
                  <c:v>6</c:v>
                </c:pt>
                <c:pt idx="1">
                  <c:v>6</c:v>
                </c:pt>
                <c:pt idx="2">
                  <c:v>6</c:v>
                </c:pt>
              </c:numCache>
            </c:numRef>
          </c:yVal>
          <c:smooth val="0"/>
          <c:extLst>
            <c:ext xmlns:c16="http://schemas.microsoft.com/office/drawing/2014/chart" uri="{C3380CC4-5D6E-409C-BE32-E72D297353CC}">
              <c16:uniqueId val="{00000001-E12D-4B7C-A4C1-64191F859E94}"/>
            </c:ext>
          </c:extLst>
        </c:ser>
        <c:ser>
          <c:idx val="4"/>
          <c:order val="2"/>
          <c:tx>
            <c:strRef>
              <c:f>'AEB-2 Summary'!$K$11</c:f>
              <c:strCache>
                <c:ptCount val="1"/>
                <c:pt idx="0">
                  <c:v>CAPM </c:v>
                </c:pt>
              </c:strCache>
            </c:strRef>
          </c:tx>
          <c:spPr>
            <a:ln w="19050" cap="rnd">
              <a:solidFill>
                <a:schemeClr val="tx1"/>
              </a:solidFill>
              <a:round/>
            </a:ln>
            <a:effectLst/>
          </c:spPr>
          <c:marker>
            <c:symbol val="none"/>
          </c:marker>
          <c:xVal>
            <c:numRef>
              <c:f>'AEB-2 Summary'!$L$11:$L$12</c:f>
              <c:numCache>
                <c:formatCode>0.00%</c:formatCode>
                <c:ptCount val="2"/>
                <c:pt idx="0">
                  <c:v>0.10470738934044896</c:v>
                </c:pt>
                <c:pt idx="1">
                  <c:v>0.11594862946506938</c:v>
                </c:pt>
              </c:numCache>
            </c:numRef>
          </c:xVal>
          <c:yVal>
            <c:numRef>
              <c:f>'AEB-2 Summary'!$M$11:$M$12</c:f>
              <c:numCache>
                <c:formatCode>0.0</c:formatCode>
                <c:ptCount val="2"/>
                <c:pt idx="0">
                  <c:v>5</c:v>
                </c:pt>
                <c:pt idx="1">
                  <c:v>5</c:v>
                </c:pt>
              </c:numCache>
            </c:numRef>
          </c:yVal>
          <c:smooth val="0"/>
          <c:extLst>
            <c:ext xmlns:c16="http://schemas.microsoft.com/office/drawing/2014/chart" uri="{C3380CC4-5D6E-409C-BE32-E72D297353CC}">
              <c16:uniqueId val="{00000002-E12D-4B7C-A4C1-64191F859E94}"/>
            </c:ext>
          </c:extLst>
        </c:ser>
        <c:ser>
          <c:idx val="0"/>
          <c:order val="3"/>
          <c:tx>
            <c:strRef>
              <c:f>'AEB-2 Summary'!$K$13</c:f>
              <c:strCache>
                <c:ptCount val="1"/>
                <c:pt idx="0">
                  <c:v>ECAPM </c:v>
                </c:pt>
              </c:strCache>
            </c:strRef>
          </c:tx>
          <c:spPr>
            <a:ln w="19050" cap="rnd">
              <a:solidFill>
                <a:schemeClr val="tx1"/>
              </a:solidFill>
              <a:round/>
            </a:ln>
            <a:effectLst/>
          </c:spPr>
          <c:marker>
            <c:symbol val="none"/>
          </c:marker>
          <c:xVal>
            <c:numRef>
              <c:f>'AEB-2 Summary'!$L$13:$L$14</c:f>
              <c:numCache>
                <c:formatCode>0.00%</c:formatCode>
                <c:ptCount val="2"/>
                <c:pt idx="0">
                  <c:v>0.1101668339972149</c:v>
                </c:pt>
                <c:pt idx="1">
                  <c:v>0.11859776409068021</c:v>
                </c:pt>
              </c:numCache>
            </c:numRef>
          </c:xVal>
          <c:yVal>
            <c:numRef>
              <c:f>'AEB-2 Summary'!$M$13:$M$14</c:f>
              <c:numCache>
                <c:formatCode>0.0</c:formatCode>
                <c:ptCount val="2"/>
                <c:pt idx="0">
                  <c:v>2</c:v>
                </c:pt>
                <c:pt idx="1">
                  <c:v>2</c:v>
                </c:pt>
              </c:numCache>
            </c:numRef>
          </c:yVal>
          <c:smooth val="0"/>
          <c:extLst>
            <c:ext xmlns:c16="http://schemas.microsoft.com/office/drawing/2014/chart" uri="{C3380CC4-5D6E-409C-BE32-E72D297353CC}">
              <c16:uniqueId val="{00000003-E12D-4B7C-A4C1-64191F859E94}"/>
            </c:ext>
          </c:extLst>
        </c:ser>
        <c:ser>
          <c:idx val="2"/>
          <c:order val="4"/>
          <c:tx>
            <c:v>Risk Premium</c:v>
          </c:tx>
          <c:spPr>
            <a:ln w="19050" cap="rnd">
              <a:solidFill>
                <a:schemeClr val="tx1"/>
              </a:solidFill>
              <a:round/>
            </a:ln>
            <a:effectLst/>
          </c:spPr>
          <c:marker>
            <c:symbol val="none"/>
          </c:marker>
          <c:xVal>
            <c:numLit>
              <c:formatCode>General</c:formatCode>
              <c:ptCount val="2"/>
              <c:pt idx="0">
                <c:v>0.10074474419143413</c:v>
              </c:pt>
              <c:pt idx="1">
                <c:v>0.10159335938700104</c:v>
              </c:pt>
            </c:numLit>
          </c:xVal>
          <c:yVal>
            <c:numLit>
              <c:formatCode>General</c:formatCode>
              <c:ptCount val="2"/>
              <c:pt idx="0">
                <c:v>1</c:v>
              </c:pt>
              <c:pt idx="1">
                <c:v>1</c:v>
              </c:pt>
            </c:numLit>
          </c:yVal>
          <c:smooth val="0"/>
          <c:extLst>
            <c:ext xmlns:c16="http://schemas.microsoft.com/office/drawing/2014/chart" uri="{C3380CC4-5D6E-409C-BE32-E72D297353CC}">
              <c16:uniqueId val="{00000004-E12D-4B7C-A4C1-64191F859E94}"/>
            </c:ext>
          </c:extLst>
        </c:ser>
        <c:ser>
          <c:idx val="3"/>
          <c:order val="5"/>
          <c:tx>
            <c:strRef>
              <c:f>'AEB-2 Summary'!$K$17</c:f>
              <c:strCache>
                <c:ptCount val="1"/>
                <c:pt idx="0">
                  <c:v>Low End ROE Recommendation</c:v>
                </c:pt>
              </c:strCache>
            </c:strRef>
          </c:tx>
          <c:spPr>
            <a:ln w="19050" cap="rnd">
              <a:solidFill>
                <a:schemeClr val="tx1"/>
              </a:solidFill>
              <a:prstDash val="dashDot"/>
              <a:round/>
            </a:ln>
            <a:effectLst/>
          </c:spPr>
          <c:marker>
            <c:symbol val="none"/>
          </c:marker>
          <c:xVal>
            <c:numRef>
              <c:f>'AEB-2 Summary'!$L$17:$L$18</c:f>
              <c:numCache>
                <c:formatCode>0.00%</c:formatCode>
                <c:ptCount val="2"/>
                <c:pt idx="0">
                  <c:v>0.10249999999999999</c:v>
                </c:pt>
                <c:pt idx="1">
                  <c:v>0.10249999999999999</c:v>
                </c:pt>
              </c:numCache>
            </c:numRef>
          </c:xVal>
          <c:yVal>
            <c:numRef>
              <c:f>'AEB-2 Summary'!$M$17:$M$18</c:f>
              <c:numCache>
                <c:formatCode>0.0</c:formatCode>
                <c:ptCount val="2"/>
                <c:pt idx="0">
                  <c:v>0</c:v>
                </c:pt>
                <c:pt idx="1">
                  <c:v>9</c:v>
                </c:pt>
              </c:numCache>
            </c:numRef>
          </c:yVal>
          <c:smooth val="0"/>
          <c:extLst>
            <c:ext xmlns:c16="http://schemas.microsoft.com/office/drawing/2014/chart" uri="{C3380CC4-5D6E-409C-BE32-E72D297353CC}">
              <c16:uniqueId val="{00000005-E12D-4B7C-A4C1-64191F859E94}"/>
            </c:ext>
          </c:extLst>
        </c:ser>
        <c:ser>
          <c:idx val="5"/>
          <c:order val="6"/>
          <c:tx>
            <c:strRef>
              <c:f>'AEB-2 Summary'!$K$19</c:f>
              <c:strCache>
                <c:ptCount val="1"/>
                <c:pt idx="0">
                  <c:v>High End ROE Recommendation</c:v>
                </c:pt>
              </c:strCache>
            </c:strRef>
          </c:tx>
          <c:spPr>
            <a:ln w="19050" cap="rnd">
              <a:solidFill>
                <a:schemeClr val="tx1"/>
              </a:solidFill>
              <a:prstDash val="dashDot"/>
              <a:round/>
            </a:ln>
            <a:effectLst/>
          </c:spPr>
          <c:marker>
            <c:symbol val="none"/>
          </c:marker>
          <c:xVal>
            <c:numRef>
              <c:f>'AEB-2 Summary'!$L$19:$L$20</c:f>
              <c:numCache>
                <c:formatCode>0.00%</c:formatCode>
                <c:ptCount val="2"/>
                <c:pt idx="0">
                  <c:v>0.1125</c:v>
                </c:pt>
                <c:pt idx="1">
                  <c:v>0.1125</c:v>
                </c:pt>
              </c:numCache>
            </c:numRef>
          </c:xVal>
          <c:yVal>
            <c:numRef>
              <c:f>'AEB-2 Summary'!$M$19:$M$20</c:f>
              <c:numCache>
                <c:formatCode>0.0</c:formatCode>
                <c:ptCount val="2"/>
                <c:pt idx="0">
                  <c:v>0</c:v>
                </c:pt>
                <c:pt idx="1">
                  <c:v>9</c:v>
                </c:pt>
              </c:numCache>
            </c:numRef>
          </c:yVal>
          <c:smooth val="0"/>
          <c:extLst>
            <c:ext xmlns:c16="http://schemas.microsoft.com/office/drawing/2014/chart" uri="{C3380CC4-5D6E-409C-BE32-E72D297353CC}">
              <c16:uniqueId val="{00000006-E12D-4B7C-A4C1-64191F859E94}"/>
            </c:ext>
          </c:extLst>
        </c:ser>
        <c:ser>
          <c:idx val="6"/>
          <c:order val="7"/>
          <c:tx>
            <c:strRef>
              <c:f>'AEB-2 Summary'!$K$21</c:f>
              <c:strCache>
                <c:ptCount val="1"/>
                <c:pt idx="0">
                  <c:v>Recommended ROE</c:v>
                </c:pt>
              </c:strCache>
            </c:strRef>
          </c:tx>
          <c:spPr>
            <a:ln w="19050" cap="rnd">
              <a:noFill/>
              <a:round/>
            </a:ln>
            <a:effectLst/>
          </c:spPr>
          <c:marker>
            <c:symbol val="diamond"/>
            <c:size val="10"/>
            <c:spPr>
              <a:solidFill>
                <a:schemeClr val="accent1">
                  <a:lumMod val="75000"/>
                </a:schemeClr>
              </a:solidFill>
              <a:ln w="9525">
                <a:noFill/>
              </a:ln>
              <a:effectLst/>
            </c:spPr>
          </c:marker>
          <c:xVal>
            <c:numRef>
              <c:f>'AEB-2 Summary'!$L$21</c:f>
              <c:numCache>
                <c:formatCode>0.00%</c:formatCode>
                <c:ptCount val="1"/>
                <c:pt idx="0">
                  <c:v>9.9500000000000005E-2</c:v>
                </c:pt>
              </c:numCache>
            </c:numRef>
          </c:xVal>
          <c:yVal>
            <c:numRef>
              <c:f>'AEB-2 Summary'!$M$21</c:f>
              <c:numCache>
                <c:formatCode>0.0</c:formatCode>
                <c:ptCount val="1"/>
                <c:pt idx="0">
                  <c:v>2.8</c:v>
                </c:pt>
              </c:numCache>
            </c:numRef>
          </c:yVal>
          <c:smooth val="0"/>
          <c:extLst>
            <c:ext xmlns:c16="http://schemas.microsoft.com/office/drawing/2014/chart" uri="{C3380CC4-5D6E-409C-BE32-E72D297353CC}">
              <c16:uniqueId val="{00000007-E12D-4B7C-A4C1-64191F859E94}"/>
            </c:ext>
          </c:extLst>
        </c:ser>
        <c:dLbls>
          <c:showLegendKey val="0"/>
          <c:showVal val="0"/>
          <c:showCatName val="0"/>
          <c:showSerName val="0"/>
          <c:showPercent val="0"/>
          <c:showBubbleSize val="0"/>
        </c:dLbls>
        <c:axId val="238422656"/>
        <c:axId val="238432640"/>
        <c:extLst/>
      </c:scatterChart>
      <c:valAx>
        <c:axId val="238422656"/>
        <c:scaling>
          <c:orientation val="minMax"/>
          <c:max val="0.12000000000000001"/>
          <c:min val="8.0000000000000016E-2"/>
        </c:scaling>
        <c:delete val="0"/>
        <c:axPos val="b"/>
        <c:numFmt formatCode="0.00%" sourceLinked="1"/>
        <c:majorTickMark val="in"/>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38432640"/>
        <c:crosses val="autoZero"/>
        <c:crossBetween val="midCat"/>
        <c:majorUnit val="5.0000000000000027E-3"/>
      </c:valAx>
      <c:valAx>
        <c:axId val="238432640"/>
        <c:scaling>
          <c:orientation val="minMax"/>
          <c:max val="9"/>
        </c:scaling>
        <c:delete val="1"/>
        <c:axPos val="l"/>
        <c:majorGridlines>
          <c:spPr>
            <a:ln w="9525" cap="flat" cmpd="sng" algn="ctr">
              <a:noFill/>
              <a:round/>
            </a:ln>
            <a:effectLst/>
          </c:spPr>
        </c:majorGridlines>
        <c:numFmt formatCode="0.0" sourceLinked="1"/>
        <c:majorTickMark val="out"/>
        <c:minorTickMark val="none"/>
        <c:tickLblPos val="nextTo"/>
        <c:crossAx val="238422656"/>
        <c:crossesAt val="0.1"/>
        <c:crossBetween val="midCat"/>
        <c:majorUnit val="1"/>
      </c:valAx>
      <c:spPr>
        <a:noFill/>
        <a:ln>
          <a:solidFill>
            <a:sysClr val="windowText" lastClr="000000"/>
          </a:solid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3916858202487"/>
          <c:y val="2.8104153579634011E-2"/>
          <c:w val="0.85044618010784101"/>
          <c:h val="0.81212352563677004"/>
        </c:manualLayout>
      </c:layout>
      <c:scatterChart>
        <c:scatterStyle val="smoothMarker"/>
        <c:varyColors val="0"/>
        <c:ser>
          <c:idx val="0"/>
          <c:order val="0"/>
          <c:spPr>
            <a:ln w="19050" cap="rnd">
              <a:noFill/>
              <a:round/>
            </a:ln>
            <a:effectLst/>
          </c:spPr>
          <c:marker>
            <c:symbol val="diamond"/>
            <c:size val="7"/>
            <c:spPr>
              <a:solidFill>
                <a:schemeClr val="tx1"/>
              </a:solidFill>
              <a:ln w="9525">
                <a:solidFill>
                  <a:schemeClr val="tx1"/>
                </a:solidFill>
              </a:ln>
              <a:effectLst/>
            </c:spPr>
          </c:marker>
          <c:trendline>
            <c:spPr>
              <a:ln w="12700" cap="rnd">
                <a:solidFill>
                  <a:schemeClr val="tx1"/>
                </a:solidFill>
                <a:prstDash val="solid"/>
              </a:ln>
              <a:effectLst/>
            </c:spPr>
            <c:trendlineType val="linear"/>
            <c:dispRSqr val="1"/>
            <c:dispEq val="1"/>
            <c:trendlineLbl>
              <c:layout>
                <c:manualLayout>
                  <c:x val="-5.9883514249617319E-2"/>
                  <c:y val="-0.52593740025694713"/>
                </c:manualLayout>
              </c:layout>
              <c:numFmt formatCode="General" sourceLinked="0"/>
              <c:spPr>
                <a:solidFill>
                  <a:schemeClr val="bg1"/>
                </a:solidFill>
                <a:ln>
                  <a:solidFill>
                    <a:sysClr val="windowText" lastClr="000000"/>
                  </a:solid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rendlineLbl>
          </c:trendline>
          <c:xVal>
            <c:numRef>
              <c:f>'AEB-8 RiskPrem'!$D$6:$D$179</c:f>
              <c:numCache>
                <c:formatCode>0.00%</c:formatCode>
                <c:ptCount val="174"/>
                <c:pt idx="0">
                  <c:v>0.11657096774193544</c:v>
                </c:pt>
                <c:pt idx="1">
                  <c:v>0.10524920634920633</c:v>
                </c:pt>
                <c:pt idx="2">
                  <c:v>0.1085</c:v>
                </c:pt>
                <c:pt idx="3">
                  <c:v>0.12096229508196724</c:v>
                </c:pt>
                <c:pt idx="4">
                  <c:v>0.12533278688524591</c:v>
                </c:pt>
                <c:pt idx="5">
                  <c:v>0.13242857142857142</c:v>
                </c:pt>
                <c:pt idx="6">
                  <c:v>0.14132343749999998</c:v>
                </c:pt>
                <c:pt idx="7">
                  <c:v>0.13847868852459014</c:v>
                </c:pt>
                <c:pt idx="8">
                  <c:v>0.13962131147540985</c:v>
                </c:pt>
                <c:pt idx="9">
                  <c:v>0.13521904761904768</c:v>
                </c:pt>
                <c:pt idx="10">
                  <c:v>0.12794375000000005</c:v>
                </c:pt>
                <c:pt idx="11">
                  <c:v>0.10746229508196721</c:v>
                </c:pt>
                <c:pt idx="12">
                  <c:v>0.10706825396825397</c:v>
                </c:pt>
                <c:pt idx="13">
                  <c:v>0.10653174603174603</c:v>
                </c:pt>
                <c:pt idx="14">
                  <c:v>0.11624531249999998</c:v>
                </c:pt>
                <c:pt idx="15">
                  <c:v>0.11737</c:v>
                </c:pt>
                <c:pt idx="16">
                  <c:v>0.12036290322580651</c:v>
                </c:pt>
                <c:pt idx="17">
                  <c:v>0.13183968253968248</c:v>
                </c:pt>
                <c:pt idx="18">
                  <c:v>0.12689047619047616</c:v>
                </c:pt>
                <c:pt idx="19">
                  <c:v>0.11698852459016393</c:v>
                </c:pt>
                <c:pt idx="20">
                  <c:v>0.11584000000000001</c:v>
                </c:pt>
                <c:pt idx="21">
                  <c:v>0.10995873015873014</c:v>
                </c:pt>
                <c:pt idx="22">
                  <c:v>0.10553015873015874</c:v>
                </c:pt>
                <c:pt idx="23">
                  <c:v>0.10039838709677419</c:v>
                </c:pt>
                <c:pt idx="24">
                  <c:v>8.7693333333333318E-2</c:v>
                </c:pt>
                <c:pt idx="25">
                  <c:v>7.4906250000000008E-2</c:v>
                </c:pt>
                <c:pt idx="26">
                  <c:v>7.4042187499999995E-2</c:v>
                </c:pt>
                <c:pt idx="27">
                  <c:v>7.5280645161290308E-2</c:v>
                </c:pt>
                <c:pt idx="28">
                  <c:v>7.4936065573770486E-2</c:v>
                </c:pt>
                <c:pt idx="29">
                  <c:v>8.5306349206349191E-2</c:v>
                </c:pt>
                <c:pt idx="30">
                  <c:v>9.0592187499999977E-2</c:v>
                </c:pt>
                <c:pt idx="31">
                  <c:v>9.2301538461538449E-2</c:v>
                </c:pt>
                <c:pt idx="32">
                  <c:v>8.6266129032258082E-2</c:v>
                </c:pt>
                <c:pt idx="33">
                  <c:v>9.0614285714285744E-2</c:v>
                </c:pt>
                <c:pt idx="34">
                  <c:v>9.1754687500000043E-2</c:v>
                </c:pt>
                <c:pt idx="35">
                  <c:v>8.9730158730158771E-2</c:v>
                </c:pt>
                <c:pt idx="36">
                  <c:v>9.036129032258064E-2</c:v>
                </c:pt>
                <c:pt idx="37">
                  <c:v>8.69796875E-2</c:v>
                </c:pt>
                <c:pt idx="38">
                  <c:v>8.1187301587301586E-2</c:v>
                </c:pt>
                <c:pt idx="39">
                  <c:v>7.9334374999999999E-2</c:v>
                </c:pt>
                <c:pt idx="40">
                  <c:v>8.4376190476190494E-2</c:v>
                </c:pt>
                <c:pt idx="41">
                  <c:v>8.6479365079365086E-2</c:v>
                </c:pt>
                <c:pt idx="42">
                  <c:v>8.7915873015873003E-2</c:v>
                </c:pt>
                <c:pt idx="43">
                  <c:v>8.557846153846152E-2</c:v>
                </c:pt>
                <c:pt idx="44">
                  <c:v>8.2024193548387081E-2</c:v>
                </c:pt>
                <c:pt idx="45">
                  <c:v>8.3114062500000016E-2</c:v>
                </c:pt>
                <c:pt idx="46">
                  <c:v>8.1885937500000019E-2</c:v>
                </c:pt>
                <c:pt idx="47">
                  <c:v>7.8533846153846162E-2</c:v>
                </c:pt>
                <c:pt idx="48">
                  <c:v>7.8050793650793662E-2</c:v>
                </c:pt>
                <c:pt idx="49">
                  <c:v>7.8976190476190478E-2</c:v>
                </c:pt>
                <c:pt idx="50">
                  <c:v>7.4456250000000002E-2</c:v>
                </c:pt>
                <c:pt idx="51">
                  <c:v>7.5235937499999989E-2</c:v>
                </c:pt>
                <c:pt idx="52">
                  <c:v>7.0716129032258074E-2</c:v>
                </c:pt>
                <c:pt idx="53">
                  <c:v>6.8584126984127011E-2</c:v>
                </c:pt>
                <c:pt idx="54">
                  <c:v>6.3154687500000015E-2</c:v>
                </c:pt>
                <c:pt idx="55">
                  <c:v>6.1351562500000012E-2</c:v>
                </c:pt>
                <c:pt idx="56">
                  <c:v>6.5758730158730155E-2</c:v>
                </c:pt>
                <c:pt idx="57">
                  <c:v>7.3622580645161306E-2</c:v>
                </c:pt>
                <c:pt idx="58">
                  <c:v>7.5893750000000024E-2</c:v>
                </c:pt>
                <c:pt idx="59">
                  <c:v>7.9633333333333334E-2</c:v>
                </c:pt>
                <c:pt idx="60">
                  <c:v>6.9422222222222191E-2</c:v>
                </c:pt>
                <c:pt idx="61">
                  <c:v>6.7173015873015857E-2</c:v>
                </c:pt>
                <c:pt idx="62">
                  <c:v>6.2390476190476205E-2</c:v>
                </c:pt>
                <c:pt idx="63">
                  <c:v>6.2916923076923065E-2</c:v>
                </c:pt>
                <c:pt idx="64">
                  <c:v>6.9215384615384609E-2</c:v>
                </c:pt>
                <c:pt idx="65">
                  <c:v>6.9672727272727275E-2</c:v>
                </c:pt>
                <c:pt idx="66">
                  <c:v>6.6199999999999995E-2</c:v>
                </c:pt>
                <c:pt idx="67">
                  <c:v>6.8153124999999995E-2</c:v>
                </c:pt>
                <c:pt idx="68">
                  <c:v>6.9369230769230752E-2</c:v>
                </c:pt>
                <c:pt idx="69">
                  <c:v>6.5304545454545448E-2</c:v>
                </c:pt>
                <c:pt idx="70">
                  <c:v>6.1478125000000015E-2</c:v>
                </c:pt>
                <c:pt idx="71">
                  <c:v>5.8490769230769207E-2</c:v>
                </c:pt>
                <c:pt idx="72">
                  <c:v>5.4762121212121241E-2</c:v>
                </c:pt>
                <c:pt idx="73">
                  <c:v>5.1071212121212115E-2</c:v>
                </c:pt>
                <c:pt idx="74">
                  <c:v>5.3734374999999994E-2</c:v>
                </c:pt>
                <c:pt idx="75">
                  <c:v>5.7987692307692289E-2</c:v>
                </c:pt>
                <c:pt idx="76">
                  <c:v>6.2559090909090911E-2</c:v>
                </c:pt>
                <c:pt idx="77">
                  <c:v>6.2958461538461505E-2</c:v>
                </c:pt>
                <c:pt idx="78">
                  <c:v>5.9787692307692299E-2</c:v>
                </c:pt>
                <c:pt idx="79">
                  <c:v>5.7932307692307693E-2</c:v>
                </c:pt>
                <c:pt idx="80">
                  <c:v>5.6907692307692305E-2</c:v>
                </c:pt>
                <c:pt idx="81">
                  <c:v>5.4464615384615396E-2</c:v>
                </c:pt>
                <c:pt idx="82">
                  <c:v>5.7016923076923069E-2</c:v>
                </c:pt>
                <c:pt idx="83">
                  <c:v>5.3019696969696967E-2</c:v>
                </c:pt>
                <c:pt idx="84">
                  <c:v>5.51578125E-2</c:v>
                </c:pt>
                <c:pt idx="85">
                  <c:v>5.6164615384615389E-2</c:v>
                </c:pt>
                <c:pt idx="86">
                  <c:v>5.0868181818181826E-2</c:v>
                </c:pt>
                <c:pt idx="87">
                  <c:v>4.9322727272727268E-2</c:v>
                </c:pt>
                <c:pt idx="88">
                  <c:v>4.8518749999999999E-2</c:v>
                </c:pt>
                <c:pt idx="89">
                  <c:v>4.6032307692307678E-2</c:v>
                </c:pt>
                <c:pt idx="90">
                  <c:v>5.113939393939395E-2</c:v>
                </c:pt>
                <c:pt idx="91">
                  <c:v>5.1146969696969691E-2</c:v>
                </c:pt>
                <c:pt idx="92">
                  <c:v>4.8776923076923072E-2</c:v>
                </c:pt>
                <c:pt idx="93">
                  <c:v>5.3353846153846154E-2</c:v>
                </c:pt>
                <c:pt idx="94">
                  <c:v>5.1074242424242439E-2</c:v>
                </c:pt>
                <c:pt idx="95">
                  <c:v>4.9322727272727296E-2</c:v>
                </c:pt>
                <c:pt idx="96">
                  <c:v>4.7070312500000003E-2</c:v>
                </c:pt>
                <c:pt idx="97">
                  <c:v>4.4709230769230765E-2</c:v>
                </c:pt>
                <c:pt idx="98">
                  <c:v>4.4228787878787867E-2</c:v>
                </c:pt>
                <c:pt idx="99">
                  <c:v>4.6523076923076924E-2</c:v>
                </c:pt>
                <c:pt idx="100">
                  <c:v>4.6270769230769213E-2</c:v>
                </c:pt>
                <c:pt idx="101">
                  <c:v>5.1427692307692299E-2</c:v>
                </c:pt>
                <c:pt idx="102">
                  <c:v>4.9955384615384631E-2</c:v>
                </c:pt>
                <c:pt idx="103">
                  <c:v>4.7423076923076908E-2</c:v>
                </c:pt>
                <c:pt idx="104">
                  <c:v>4.7975384615384635E-2</c:v>
                </c:pt>
                <c:pt idx="105">
                  <c:v>4.9892307692307715E-2</c:v>
                </c:pt>
                <c:pt idx="106">
                  <c:v>4.9499999999999982E-2</c:v>
                </c:pt>
                <c:pt idx="107">
                  <c:v>4.6140000000000014E-2</c:v>
                </c:pt>
                <c:pt idx="108">
                  <c:v>4.409538461538462E-2</c:v>
                </c:pt>
                <c:pt idx="109">
                  <c:v>4.5739999999999996E-2</c:v>
                </c:pt>
                <c:pt idx="110">
                  <c:v>4.4501515151515146E-2</c:v>
                </c:pt>
                <c:pt idx="111">
                  <c:v>3.6437500000000005E-2</c:v>
                </c:pt>
                <c:pt idx="112">
                  <c:v>3.4393749999999994E-2</c:v>
                </c:pt>
                <c:pt idx="113">
                  <c:v>4.1692307692307695E-2</c:v>
                </c:pt>
                <c:pt idx="114">
                  <c:v>4.321666666666666E-2</c:v>
                </c:pt>
                <c:pt idx="115">
                  <c:v>4.3392187499999998E-2</c:v>
                </c:pt>
                <c:pt idx="116">
                  <c:v>4.6243749999999986E-2</c:v>
                </c:pt>
                <c:pt idx="117">
                  <c:v>4.3692307692307676E-2</c:v>
                </c:pt>
                <c:pt idx="118">
                  <c:v>3.8563636363636355E-2</c:v>
                </c:pt>
                <c:pt idx="119">
                  <c:v>4.1749230769230768E-2</c:v>
                </c:pt>
                <c:pt idx="120">
                  <c:v>4.5609374999999994E-2</c:v>
                </c:pt>
                <c:pt idx="121">
                  <c:v>4.3387692307692308E-2</c:v>
                </c:pt>
                <c:pt idx="122">
                  <c:v>3.6960606060606048E-2</c:v>
                </c:pt>
                <c:pt idx="123">
                  <c:v>3.0376190476190473E-2</c:v>
                </c:pt>
                <c:pt idx="124">
                  <c:v>3.1361538461538462E-2</c:v>
                </c:pt>
                <c:pt idx="125">
                  <c:v>2.9363076923076922E-2</c:v>
                </c:pt>
                <c:pt idx="126">
                  <c:v>2.7429230769230779E-2</c:v>
                </c:pt>
                <c:pt idx="127">
                  <c:v>2.8639062499999993E-2</c:v>
                </c:pt>
                <c:pt idx="128">
                  <c:v>3.1303125000000008E-2</c:v>
                </c:pt>
                <c:pt idx="129">
                  <c:v>3.1412307692307684E-2</c:v>
                </c:pt>
                <c:pt idx="130">
                  <c:v>3.7107575757575756E-2</c:v>
                </c:pt>
                <c:pt idx="131">
                  <c:v>3.7882812500000008E-2</c:v>
                </c:pt>
                <c:pt idx="132">
                  <c:v>3.6903125000000009E-2</c:v>
                </c:pt>
                <c:pt idx="133">
                  <c:v>3.4430769230769237E-2</c:v>
                </c:pt>
                <c:pt idx="134">
                  <c:v>3.2657575757575753E-2</c:v>
                </c:pt>
                <c:pt idx="135">
                  <c:v>2.9637499999999997E-2</c:v>
                </c:pt>
                <c:pt idx="136">
                  <c:v>2.5540625000000004E-2</c:v>
                </c:pt>
                <c:pt idx="137">
                  <c:v>2.8836923076923083E-2</c:v>
                </c:pt>
                <c:pt idx="138">
                  <c:v>2.9624242424242438E-2</c:v>
                </c:pt>
                <c:pt idx="139">
                  <c:v>2.9630303030303028E-2</c:v>
                </c:pt>
                <c:pt idx="140">
                  <c:v>2.7218461538461539E-2</c:v>
                </c:pt>
                <c:pt idx="141">
                  <c:v>2.5672307692307696E-2</c:v>
                </c:pt>
                <c:pt idx="142">
                  <c:v>2.2793939393939398E-2</c:v>
                </c:pt>
                <c:pt idx="143">
                  <c:v>2.8333846153846154E-2</c:v>
                </c:pt>
                <c:pt idx="144">
                  <c:v>3.0452307692307709E-2</c:v>
                </c:pt>
                <c:pt idx="145">
                  <c:v>2.8972307692307693E-2</c:v>
                </c:pt>
                <c:pt idx="146">
                  <c:v>2.8173846153846157E-2</c:v>
                </c:pt>
                <c:pt idx="147">
                  <c:v>2.817384615384615E-2</c:v>
                </c:pt>
                <c:pt idx="148">
                  <c:v>3.0235384615384615E-2</c:v>
                </c:pt>
                <c:pt idx="149">
                  <c:v>3.0853846153846162E-2</c:v>
                </c:pt>
                <c:pt idx="150">
                  <c:v>3.0607692307692315E-2</c:v>
                </c:pt>
                <c:pt idx="151">
                  <c:v>3.26939393939394E-2</c:v>
                </c:pt>
                <c:pt idx="152">
                  <c:v>3.0129687499999998E-2</c:v>
                </c:pt>
                <c:pt idx="153">
                  <c:v>2.7836923076923075E-2</c:v>
                </c:pt>
                <c:pt idx="154">
                  <c:v>2.2849999999999995E-2</c:v>
                </c:pt>
                <c:pt idx="155">
                  <c:v>2.2566666666666676E-2</c:v>
                </c:pt>
                <c:pt idx="156">
                  <c:v>1.8878461538461538E-2</c:v>
                </c:pt>
                <c:pt idx="157">
                  <c:v>1.3801538461538454E-2</c:v>
                </c:pt>
                <c:pt idx="158">
                  <c:v>1.3654545454545457E-2</c:v>
                </c:pt>
                <c:pt idx="159">
                  <c:v>1.6210606060606054E-2</c:v>
                </c:pt>
                <c:pt idx="160">
                  <c:v>2.0748437499999998E-2</c:v>
                </c:pt>
                <c:pt idx="161">
                  <c:v>2.2579999999999996E-2</c:v>
                </c:pt>
                <c:pt idx="162">
                  <c:v>1.9333333333333327E-2</c:v>
                </c:pt>
                <c:pt idx="163">
                  <c:v>1.9479687499999995E-2</c:v>
                </c:pt>
                <c:pt idx="164">
                  <c:v>2.2546031746031748E-2</c:v>
                </c:pt>
                <c:pt idx="165">
                  <c:v>3.0455384615384599E-2</c:v>
                </c:pt>
                <c:pt idx="166">
                  <c:v>3.2607575757575759E-2</c:v>
                </c:pt>
                <c:pt idx="167">
                  <c:v>3.8912500000000003E-2</c:v>
                </c:pt>
                <c:pt idx="168">
                  <c:v>3.7495384615384618E-2</c:v>
                </c:pt>
                <c:pt idx="169">
                  <c:v>3.808461538461537E-2</c:v>
                </c:pt>
                <c:pt idx="170">
                  <c:v>4.234461538461539E-2</c:v>
                </c:pt>
                <c:pt idx="171">
                  <c:v>4.5817187500000002E-2</c:v>
                </c:pt>
                <c:pt idx="172">
                  <c:v>4.3239062499999988E-2</c:v>
                </c:pt>
                <c:pt idx="173">
                  <c:v>4.5758461538461546E-2</c:v>
                </c:pt>
              </c:numCache>
            </c:numRef>
          </c:xVal>
          <c:yVal>
            <c:numRef>
              <c:f>'AEB-8 RiskPrem'!$E$6:$E$179</c:f>
              <c:numCache>
                <c:formatCode>0.00%</c:formatCode>
                <c:ptCount val="174"/>
                <c:pt idx="0">
                  <c:v>1.7890570719603024E-2</c:v>
                </c:pt>
                <c:pt idx="1">
                  <c:v>3.8528571428571454E-2</c:v>
                </c:pt>
                <c:pt idx="2">
                  <c:v>3.0241666666666681E-2</c:v>
                </c:pt>
                <c:pt idx="3">
                  <c:v>2.2542052744119745E-2</c:v>
                </c:pt>
                <c:pt idx="4">
                  <c:v>2.17922131147541E-2</c:v>
                </c:pt>
                <c:pt idx="5">
                  <c:v>1.3641428571428582E-2</c:v>
                </c:pt>
                <c:pt idx="6">
                  <c:v>7.2376736111111339E-3</c:v>
                </c:pt>
                <c:pt idx="7">
                  <c:v>1.8569137562366389E-2</c:v>
                </c:pt>
                <c:pt idx="8">
                  <c:v>1.5905355191256826E-2</c:v>
                </c:pt>
                <c:pt idx="9">
                  <c:v>2.0993452380952293E-2</c:v>
                </c:pt>
                <c:pt idx="10">
                  <c:v>2.9713392857142834E-2</c:v>
                </c:pt>
                <c:pt idx="11">
                  <c:v>4.8857704918032749E-2</c:v>
                </c:pt>
                <c:pt idx="12">
                  <c:v>4.7071746031746006E-2</c:v>
                </c:pt>
                <c:pt idx="13">
                  <c:v>4.1861111111111127E-2</c:v>
                </c:pt>
                <c:pt idx="14">
                  <c:v>3.6192187500000028E-2</c:v>
                </c:pt>
                <c:pt idx="15">
                  <c:v>3.6640526315789457E-2</c:v>
                </c:pt>
                <c:pt idx="16">
                  <c:v>3.3487096774193509E-2</c:v>
                </c:pt>
                <c:pt idx="17">
                  <c:v>1.8874603174603266E-2</c:v>
                </c:pt>
                <c:pt idx="18">
                  <c:v>2.7745887445887463E-2</c:v>
                </c:pt>
                <c:pt idx="19">
                  <c:v>3.6319808743169396E-2</c:v>
                </c:pt>
                <c:pt idx="20">
                  <c:v>3.4484999999999974E-2</c:v>
                </c:pt>
                <c:pt idx="21">
                  <c:v>4.4466269841269862E-2</c:v>
                </c:pt>
                <c:pt idx="22">
                  <c:v>4.0836507936507907E-2</c:v>
                </c:pt>
                <c:pt idx="23">
                  <c:v>4.3284946236559138E-2</c:v>
                </c:pt>
                <c:pt idx="24">
                  <c:v>5.2806666666666696E-2</c:v>
                </c:pt>
                <c:pt idx="25">
                  <c:v>5.7860416666666664E-2</c:v>
                </c:pt>
                <c:pt idx="26">
                  <c:v>5.6857812500000021E-2</c:v>
                </c:pt>
                <c:pt idx="27">
                  <c:v>6.0933640552995424E-2</c:v>
                </c:pt>
                <c:pt idx="28">
                  <c:v>5.1149648711943788E-2</c:v>
                </c:pt>
                <c:pt idx="29">
                  <c:v>4.5068650793650827E-2</c:v>
                </c:pt>
                <c:pt idx="30">
                  <c:v>3.6407812500000025E-2</c:v>
                </c:pt>
                <c:pt idx="31">
                  <c:v>3.4565128205128207E-2</c:v>
                </c:pt>
                <c:pt idx="32">
                  <c:v>4.3133870967741933E-2</c:v>
                </c:pt>
                <c:pt idx="33">
                  <c:v>3.4135714285714255E-2</c:v>
                </c:pt>
                <c:pt idx="34">
                  <c:v>3.6123090277777742E-2</c:v>
                </c:pt>
                <c:pt idx="35">
                  <c:v>4.0042568542568491E-2</c:v>
                </c:pt>
                <c:pt idx="36">
                  <c:v>3.9563709677419373E-2</c:v>
                </c:pt>
                <c:pt idx="37">
                  <c:v>4.5520312500000007E-2</c:v>
                </c:pt>
                <c:pt idx="38">
                  <c:v>4.4384126984126998E-2</c:v>
                </c:pt>
                <c:pt idx="39">
                  <c:v>5.0034374999999978E-2</c:v>
                </c:pt>
                <c:pt idx="40">
                  <c:v>4.2423809523809503E-2</c:v>
                </c:pt>
                <c:pt idx="41">
                  <c:v>4.15920634920635E-2</c:v>
                </c:pt>
                <c:pt idx="42">
                  <c:v>3.5726984126984135E-2</c:v>
                </c:pt>
                <c:pt idx="43">
                  <c:v>4.2207252747252788E-2</c:v>
                </c:pt>
                <c:pt idx="44">
                  <c:v>4.4915806451612916E-2</c:v>
                </c:pt>
                <c:pt idx="45">
                  <c:v>4.2185937500000006E-2</c:v>
                </c:pt>
                <c:pt idx="46">
                  <c:v>4.2426562499999973E-2</c:v>
                </c:pt>
                <c:pt idx="47">
                  <c:v>4.4773846153846164E-2</c:v>
                </c:pt>
                <c:pt idx="48">
                  <c:v>4.6129206349206336E-2</c:v>
                </c:pt>
                <c:pt idx="49">
                  <c:v>4.0857142857142856E-2</c:v>
                </c:pt>
                <c:pt idx="50">
                  <c:v>4.4203749999999986E-2</c:v>
                </c:pt>
                <c:pt idx="51">
                  <c:v>4.4164062500000004E-2</c:v>
                </c:pt>
                <c:pt idx="52">
                  <c:v>4.678387096774192E-2</c:v>
                </c:pt>
                <c:pt idx="53">
                  <c:v>4.849920634920632E-2</c:v>
                </c:pt>
                <c:pt idx="54">
                  <c:v>5.0720312499999975E-2</c:v>
                </c:pt>
                <c:pt idx="55">
                  <c:v>5.0203993055555562E-2</c:v>
                </c:pt>
                <c:pt idx="56">
                  <c:v>4.5441269841269852E-2</c:v>
                </c:pt>
                <c:pt idx="57">
                  <c:v>3.4727419354838682E-2</c:v>
                </c:pt>
                <c:pt idx="58">
                  <c:v>3.2772916666666652E-2</c:v>
                </c:pt>
                <c:pt idx="59">
                  <c:v>3.5625000000000004E-2</c:v>
                </c:pt>
                <c:pt idx="60">
                  <c:v>4.057777777777781E-2</c:v>
                </c:pt>
                <c:pt idx="61">
                  <c:v>4.349365079365082E-2</c:v>
                </c:pt>
                <c:pt idx="62">
                  <c:v>5.3676190476190461E-2</c:v>
                </c:pt>
                <c:pt idx="63">
                  <c:v>5.1583076923076926E-2</c:v>
                </c:pt>
                <c:pt idx="64">
                  <c:v>3.953461538461539E-2</c:v>
                </c:pt>
                <c:pt idx="65">
                  <c:v>4.2827272727272728E-2</c:v>
                </c:pt>
                <c:pt idx="66">
                  <c:v>4.5742857142857155E-2</c:v>
                </c:pt>
                <c:pt idx="67">
                  <c:v>4.4918303571428578E-2</c:v>
                </c:pt>
                <c:pt idx="68">
                  <c:v>4.763076923076924E-2</c:v>
                </c:pt>
                <c:pt idx="69">
                  <c:v>5.4695454545454547E-2</c:v>
                </c:pt>
                <c:pt idx="70">
                  <c:v>4.768854166666666E-2</c:v>
                </c:pt>
                <c:pt idx="71">
                  <c:v>5.5175897435897445E-2</c:v>
                </c:pt>
                <c:pt idx="72">
                  <c:v>5.9337878787878752E-2</c:v>
                </c:pt>
                <c:pt idx="73">
                  <c:v>6.5828787878787889E-2</c:v>
                </c:pt>
                <c:pt idx="74">
                  <c:v>5.4432291666666681E-2</c:v>
                </c:pt>
                <c:pt idx="75">
                  <c:v>5.4512307692307714E-2</c:v>
                </c:pt>
                <c:pt idx="76">
                  <c:v>4.1190909090909084E-2</c:v>
                </c:pt>
                <c:pt idx="77">
                  <c:v>4.3591538461538501E-2</c:v>
                </c:pt>
                <c:pt idx="78">
                  <c:v>5.054564102564104E-2</c:v>
                </c:pt>
                <c:pt idx="79">
                  <c:v>5.5407692307692304E-2</c:v>
                </c:pt>
                <c:pt idx="80">
                  <c:v>6.4092307692307698E-2</c:v>
                </c:pt>
                <c:pt idx="81">
                  <c:v>5.9285384615384608E-2</c:v>
                </c:pt>
                <c:pt idx="82">
                  <c:v>5.0483076923076929E-2</c:v>
                </c:pt>
                <c:pt idx="83">
                  <c:v>5.3480303030303045E-2</c:v>
                </c:pt>
                <c:pt idx="84">
                  <c:v>5.1508854166666673E-2</c:v>
                </c:pt>
                <c:pt idx="85">
                  <c:v>6.0260384615384611E-2</c:v>
                </c:pt>
                <c:pt idx="86">
                  <c:v>6.4131818181818165E-2</c:v>
                </c:pt>
                <c:pt idx="87">
                  <c:v>6.0788383838383836E-2</c:v>
                </c:pt>
                <c:pt idx="88">
                  <c:v>6.5301249999999991E-2</c:v>
                </c:pt>
                <c:pt idx="89">
                  <c:v>6.7592692307692326E-2</c:v>
                </c:pt>
                <c:pt idx="90">
                  <c:v>5.498060606060607E-2</c:v>
                </c:pt>
                <c:pt idx="91">
                  <c:v>5.7271212121212139E-2</c:v>
                </c:pt>
                <c:pt idx="92">
                  <c:v>6.1823076923076918E-2</c:v>
                </c:pt>
                <c:pt idx="93">
                  <c:v>5.2379487179487191E-2</c:v>
                </c:pt>
                <c:pt idx="94">
                  <c:v>5.2613257575757549E-2</c:v>
                </c:pt>
                <c:pt idx="95">
                  <c:v>5.7260606060606026E-2</c:v>
                </c:pt>
                <c:pt idx="96">
                  <c:v>5.9429687500000009E-2</c:v>
                </c:pt>
                <c:pt idx="97">
                  <c:v>6.0650769230769244E-2</c:v>
                </c:pt>
                <c:pt idx="98">
                  <c:v>6.0491212121212126E-2</c:v>
                </c:pt>
                <c:pt idx="99">
                  <c:v>5.6641208791208798E-2</c:v>
                </c:pt>
                <c:pt idx="100">
                  <c:v>6.0529230769230793E-2</c:v>
                </c:pt>
                <c:pt idx="101">
                  <c:v>5.4572307692307698E-2</c:v>
                </c:pt>
                <c:pt idx="102">
                  <c:v>5.3419615384615364E-2</c:v>
                </c:pt>
                <c:pt idx="103">
                  <c:v>5.3996923076923088E-2</c:v>
                </c:pt>
                <c:pt idx="104">
                  <c:v>5.7206433566433533E-2</c:v>
                </c:pt>
                <c:pt idx="105">
                  <c:v>5.1374358974358943E-2</c:v>
                </c:pt>
                <c:pt idx="106">
                  <c:v>5.0762500000000009E-2</c:v>
                </c:pt>
                <c:pt idx="107">
                  <c:v>5.5036923076923053E-2</c:v>
                </c:pt>
                <c:pt idx="108">
                  <c:v>5.9661758241758248E-2</c:v>
                </c:pt>
                <c:pt idx="109">
                  <c:v>5.5926666666666687E-2</c:v>
                </c:pt>
                <c:pt idx="110">
                  <c:v>6.1009595959595965E-2</c:v>
                </c:pt>
                <c:pt idx="111">
                  <c:v>6.6947115384615369E-2</c:v>
                </c:pt>
                <c:pt idx="112">
                  <c:v>6.8031249999999988E-2</c:v>
                </c:pt>
                <c:pt idx="113">
                  <c:v>5.9382692307692303E-2</c:v>
                </c:pt>
                <c:pt idx="114">
                  <c:v>5.5583333333333339E-2</c:v>
                </c:pt>
                <c:pt idx="115">
                  <c:v>5.9657812500000032E-2</c:v>
                </c:pt>
                <c:pt idx="116">
                  <c:v>5.6122916666666675E-2</c:v>
                </c:pt>
                <c:pt idx="117">
                  <c:v>5.6162237762237784E-2</c:v>
                </c:pt>
                <c:pt idx="118">
                  <c:v>6.568636363636364E-2</c:v>
                </c:pt>
                <c:pt idx="119">
                  <c:v>5.9173846153846153E-2</c:v>
                </c:pt>
                <c:pt idx="120">
                  <c:v>5.5390625000000013E-2</c:v>
                </c:pt>
                <c:pt idx="121">
                  <c:v>5.5062307692307702E-2</c:v>
                </c:pt>
                <c:pt idx="122">
                  <c:v>5.9539393939393954E-2</c:v>
                </c:pt>
                <c:pt idx="123">
                  <c:v>6.8373809523809531E-2</c:v>
                </c:pt>
                <c:pt idx="124">
                  <c:v>6.495846153846152E-2</c:v>
                </c:pt>
                <c:pt idx="125">
                  <c:v>6.8949423076923061E-2</c:v>
                </c:pt>
                <c:pt idx="126">
                  <c:v>7.0070769230769228E-2</c:v>
                </c:pt>
                <c:pt idx="127">
                  <c:v>7.1910937500000008E-2</c:v>
                </c:pt>
                <c:pt idx="128">
                  <c:v>6.4363541666666663E-2</c:v>
                </c:pt>
                <c:pt idx="129">
                  <c:v>6.3271025641025644E-2</c:v>
                </c:pt>
                <c:pt idx="130">
                  <c:v>5.8892424242424246E-2</c:v>
                </c:pt>
                <c:pt idx="131">
                  <c:v>6.0408096590909073E-2</c:v>
                </c:pt>
                <c:pt idx="132">
                  <c:v>5.8513541666666655E-2</c:v>
                </c:pt>
                <c:pt idx="133">
                  <c:v>6.3931730769230755E-2</c:v>
                </c:pt>
                <c:pt idx="134">
                  <c:v>6.1842424242424261E-2</c:v>
                </c:pt>
                <c:pt idx="135">
                  <c:v>7.3195833333333335E-2</c:v>
                </c:pt>
                <c:pt idx="136">
                  <c:v>6.9126041666666665E-2</c:v>
                </c:pt>
                <c:pt idx="137">
                  <c:v>6.5496410256410259E-2</c:v>
                </c:pt>
                <c:pt idx="138">
                  <c:v>6.7875757575757562E-2</c:v>
                </c:pt>
                <c:pt idx="139">
                  <c:v>6.7147474747474734E-2</c:v>
                </c:pt>
                <c:pt idx="140">
                  <c:v>6.7614871794871786E-2</c:v>
                </c:pt>
                <c:pt idx="141">
                  <c:v>6.8477692307692295E-2</c:v>
                </c:pt>
                <c:pt idx="142">
                  <c:v>7.185606060606059E-2</c:v>
                </c:pt>
                <c:pt idx="143">
                  <c:v>6.8388376068376056E-2</c:v>
                </c:pt>
                <c:pt idx="144">
                  <c:v>6.5547692307692307E-2</c:v>
                </c:pt>
                <c:pt idx="145">
                  <c:v>6.5741978021978009E-2</c:v>
                </c:pt>
                <c:pt idx="146">
                  <c:v>7.3209487179487165E-2</c:v>
                </c:pt>
                <c:pt idx="147">
                  <c:v>6.8826153846153842E-2</c:v>
                </c:pt>
                <c:pt idx="148">
                  <c:v>6.6581282051282054E-2</c:v>
                </c:pt>
                <c:pt idx="149">
                  <c:v>6.343186813186813E-2</c:v>
                </c:pt>
                <c:pt idx="150">
                  <c:v>6.6500641025641016E-2</c:v>
                </c:pt>
                <c:pt idx="151">
                  <c:v>6.2613203463203454E-2</c:v>
                </c:pt>
                <c:pt idx="152">
                  <c:v>6.53703125E-2</c:v>
                </c:pt>
                <c:pt idx="153">
                  <c:v>6.9429743589743589E-2</c:v>
                </c:pt>
                <c:pt idx="154">
                  <c:v>7.665000000000001E-2</c:v>
                </c:pt>
                <c:pt idx="155">
                  <c:v>7.481969696969698E-2</c:v>
                </c:pt>
                <c:pt idx="156">
                  <c:v>7.464376068376069E-2</c:v>
                </c:pt>
                <c:pt idx="157">
                  <c:v>8.1698461538461539E-2</c:v>
                </c:pt>
                <c:pt idx="158">
                  <c:v>8.1532954545454547E-2</c:v>
                </c:pt>
                <c:pt idx="159">
                  <c:v>7.8742727272727311E-2</c:v>
                </c:pt>
                <c:pt idx="160">
                  <c:v>7.6331562500000005E-2</c:v>
                </c:pt>
                <c:pt idx="161">
                  <c:v>7.2203333333333342E-2</c:v>
                </c:pt>
                <c:pt idx="162">
                  <c:v>7.4993939393939391E-2</c:v>
                </c:pt>
                <c:pt idx="163">
                  <c:v>7.6457812500000027E-2</c:v>
                </c:pt>
                <c:pt idx="164">
                  <c:v>7.1203968253968242E-2</c:v>
                </c:pt>
                <c:pt idx="165">
                  <c:v>6.1811282051282078E-2</c:v>
                </c:pt>
                <c:pt idx="166">
                  <c:v>6.256742424242423E-2</c:v>
                </c:pt>
                <c:pt idx="167">
                  <c:v>5.7543750000000018E-2</c:v>
                </c:pt>
                <c:pt idx="168">
                  <c:v>5.8871282051282038E-2</c:v>
                </c:pt>
                <c:pt idx="169">
                  <c:v>5.5915384615384631E-2</c:v>
                </c:pt>
                <c:pt idx="170">
                  <c:v>5.297205128205127E-2</c:v>
                </c:pt>
                <c:pt idx="171">
                  <c:v>5.038281250000002E-2</c:v>
                </c:pt>
                <c:pt idx="172">
                  <c:v>5.2927604166666677E-2</c:v>
                </c:pt>
                <c:pt idx="173">
                  <c:v>5.5101538461538445E-2</c:v>
                </c:pt>
              </c:numCache>
            </c:numRef>
          </c:yVal>
          <c:smooth val="1"/>
          <c:extLst>
            <c:ext xmlns:c16="http://schemas.microsoft.com/office/drawing/2014/chart" uri="{C3380CC4-5D6E-409C-BE32-E72D297353CC}">
              <c16:uniqueId val="{00000000-F76A-4CFE-8A90-5E1150BD0077}"/>
            </c:ext>
          </c:extLst>
        </c:ser>
        <c:dLbls>
          <c:showLegendKey val="0"/>
          <c:showVal val="0"/>
          <c:showCatName val="0"/>
          <c:showSerName val="0"/>
          <c:showPercent val="0"/>
          <c:showBubbleSize val="0"/>
        </c:dLbls>
        <c:axId val="1143795120"/>
        <c:axId val="1143802192"/>
      </c:scatterChart>
      <c:valAx>
        <c:axId val="1143795120"/>
        <c:scaling>
          <c:orientation val="minMax"/>
          <c:max val="0.15000000000000002"/>
          <c:min val="1.0000000000000002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a:t>U.S. Government 30-year Treasury Yield</a:t>
                </a:r>
              </a:p>
            </c:rich>
          </c:tx>
          <c:layout>
            <c:manualLayout>
              <c:xMode val="edge"/>
              <c:yMode val="edge"/>
              <c:x val="0.34729134419095042"/>
              <c:y val="0.9268066266780921"/>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1143802192"/>
        <c:crosses val="autoZero"/>
        <c:crossBetween val="midCat"/>
      </c:valAx>
      <c:valAx>
        <c:axId val="1143802192"/>
        <c:scaling>
          <c:orientation val="minMax"/>
          <c:max val="9.0000000000000024E-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a:t>Risk Premium</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1143795120"/>
        <c:crosses val="autoZero"/>
        <c:crossBetween val="midCat"/>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defRPr>
      </a:pPr>
      <a:endParaRPr lang="en-US"/>
    </a:p>
  </c:txPr>
  <c:printSettings>
    <c:headerFooter>
      <c:oddHeader>&amp;RLiberty Utilities (Granite State Electric) Corp.
d/b/a Liberty Utilities
Attachment AEB/CMW-10
Page &amp;P</c:oddHeader>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490813648293968E-2"/>
          <c:y val="4.5128219706269235E-2"/>
          <c:w val="0.87562029746281711"/>
          <c:h val="0.8717470209560334"/>
        </c:manualLayout>
      </c:layout>
      <c:barChart>
        <c:barDir val="col"/>
        <c:grouping val="clustered"/>
        <c:varyColors val="0"/>
        <c:ser>
          <c:idx val="0"/>
          <c:order val="0"/>
          <c:tx>
            <c:strRef>
              <c:f>'AEB-10 CapEx 2'!$D$26</c:f>
              <c:strCache>
                <c:ptCount val="1"/>
                <c:pt idx="0">
                  <c:v>2024-2028</c:v>
                </c:pt>
              </c:strCache>
            </c:strRef>
          </c:tx>
          <c:spPr>
            <a:solidFill>
              <a:schemeClr val="tx1"/>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A-B2CE-4FE2-92F1-929B39E23C61}"/>
              </c:ext>
            </c:extLst>
          </c:dPt>
          <c:dPt>
            <c:idx val="1"/>
            <c:invertIfNegative val="0"/>
            <c:bubble3D val="0"/>
            <c:extLst>
              <c:ext xmlns:c16="http://schemas.microsoft.com/office/drawing/2014/chart" uri="{C3380CC4-5D6E-409C-BE32-E72D297353CC}">
                <c16:uniqueId val="{0000000B-1407-417D-B174-FC6584994588}"/>
              </c:ext>
            </c:extLst>
          </c:dPt>
          <c:dPt>
            <c:idx val="3"/>
            <c:invertIfNegative val="0"/>
            <c:bubble3D val="0"/>
            <c:extLst>
              <c:ext xmlns:c16="http://schemas.microsoft.com/office/drawing/2014/chart" uri="{C3380CC4-5D6E-409C-BE32-E72D297353CC}">
                <c16:uniqueId val="{00000001-1407-417D-B174-FC6584994588}"/>
              </c:ext>
            </c:extLst>
          </c:dPt>
          <c:dPt>
            <c:idx val="4"/>
            <c:invertIfNegative val="0"/>
            <c:bubble3D val="0"/>
            <c:extLst>
              <c:ext xmlns:c16="http://schemas.microsoft.com/office/drawing/2014/chart" uri="{C3380CC4-5D6E-409C-BE32-E72D297353CC}">
                <c16:uniqueId val="{00000002-1407-417D-B174-FC6584994588}"/>
              </c:ext>
            </c:extLst>
          </c:dPt>
          <c:dPt>
            <c:idx val="5"/>
            <c:invertIfNegative val="0"/>
            <c:bubble3D val="0"/>
            <c:spPr>
              <a:pattFill prst="wdUpDiag">
                <a:fgClr>
                  <a:schemeClr val="tx1"/>
                </a:fgClr>
                <a:bgClr>
                  <a:schemeClr val="bg1"/>
                </a:bgClr>
              </a:pattFill>
              <a:ln>
                <a:solidFill>
                  <a:sysClr val="windowText" lastClr="000000"/>
                </a:solidFill>
              </a:ln>
            </c:spPr>
            <c:extLst>
              <c:ext xmlns:c16="http://schemas.microsoft.com/office/drawing/2014/chart" uri="{C3380CC4-5D6E-409C-BE32-E72D297353CC}">
                <c16:uniqueId val="{00000003-1407-417D-B174-FC6584994588}"/>
              </c:ext>
            </c:extLst>
          </c:dPt>
          <c:dPt>
            <c:idx val="10"/>
            <c:invertIfNegative val="0"/>
            <c:bubble3D val="0"/>
            <c:extLst>
              <c:ext xmlns:c16="http://schemas.microsoft.com/office/drawing/2014/chart" uri="{C3380CC4-5D6E-409C-BE32-E72D297353CC}">
                <c16:uniqueId val="{00000007-1407-417D-B174-FC6584994588}"/>
              </c:ext>
            </c:extLst>
          </c:dPt>
          <c:dPt>
            <c:idx val="11"/>
            <c:invertIfNegative val="0"/>
            <c:bubble3D val="0"/>
            <c:extLst>
              <c:ext xmlns:c16="http://schemas.microsoft.com/office/drawing/2014/chart" uri="{C3380CC4-5D6E-409C-BE32-E72D297353CC}">
                <c16:uniqueId val="{00000008-1407-417D-B174-FC6584994588}"/>
              </c:ext>
            </c:extLst>
          </c:dPt>
          <c:dPt>
            <c:idx val="13"/>
            <c:invertIfNegative val="0"/>
            <c:bubble3D val="0"/>
            <c:extLst>
              <c:ext xmlns:c16="http://schemas.microsoft.com/office/drawing/2014/chart" uri="{C3380CC4-5D6E-409C-BE32-E72D297353CC}">
                <c16:uniqueId val="{00000009-1407-417D-B174-FC6584994588}"/>
              </c:ext>
            </c:extLst>
          </c:dPt>
          <c:dPt>
            <c:idx val="16"/>
            <c:invertIfNegative val="0"/>
            <c:bubble3D val="0"/>
            <c:extLst>
              <c:ext xmlns:c16="http://schemas.microsoft.com/office/drawing/2014/chart" uri="{C3380CC4-5D6E-409C-BE32-E72D297353CC}">
                <c16:uniqueId val="{0000000A-1407-417D-B174-FC6584994588}"/>
              </c:ext>
            </c:extLst>
          </c:dPt>
          <c:dLbls>
            <c:dLbl>
              <c:idx val="0"/>
              <c:layout>
                <c:manualLayout>
                  <c:x val="-6.9204801965851454E-3"/>
                  <c:y val="-4.47239790959417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2CE-4FE2-92F1-929B39E23C61}"/>
                </c:ext>
              </c:extLst>
            </c:dLbl>
            <c:dLbl>
              <c:idx val="1"/>
              <c:layout>
                <c:manualLayout>
                  <c:x val="0"/>
                  <c:y val="-4.47239790959417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07-417D-B174-FC6584994588}"/>
                </c:ext>
              </c:extLst>
            </c:dLbl>
            <c:dLbl>
              <c:idx val="2"/>
              <c:layout>
                <c:manualLayout>
                  <c:x val="-2.0736132711249352E-3"/>
                  <c:y val="-2.71699663783456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7-417D-B174-FC6584994588}"/>
                </c:ext>
              </c:extLst>
            </c:dLbl>
            <c:dLbl>
              <c:idx val="3"/>
              <c:layout>
                <c:manualLayout>
                  <c:x val="0"/>
                  <c:y val="-1.3417193728782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07-417D-B174-FC6584994588}"/>
                </c:ext>
              </c:extLst>
            </c:dLbl>
            <c:dLbl>
              <c:idx val="4"/>
              <c:layout>
                <c:manualLayout>
                  <c:x val="-4.300388377378667E-3"/>
                  <c:y val="-1.788959163837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7-417D-B174-FC6584994588}"/>
                </c:ext>
              </c:extLst>
            </c:dLbl>
            <c:dLbl>
              <c:idx val="5"/>
              <c:layout>
                <c:manualLayout>
                  <c:x val="-2.3067366579177604E-3"/>
                  <c:y val="-4.0586970510630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7-417D-B174-FC6584994588}"/>
                </c:ext>
              </c:extLst>
            </c:dLbl>
            <c:dLbl>
              <c:idx val="10"/>
              <c:layout>
                <c:manualLayout>
                  <c:x val="-1.6147635524798153E-2"/>
                  <c:y val="-8.9447958191883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07-417D-B174-FC6584994588}"/>
                </c:ext>
              </c:extLst>
            </c:dLbl>
            <c:dLbl>
              <c:idx val="11"/>
              <c:layout>
                <c:manualLayout>
                  <c:x val="-1.6916375130379505E-16"/>
                  <c:y val="-1.3417193728782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07-417D-B174-FC6584994588}"/>
                </c:ext>
              </c:extLst>
            </c:dLbl>
            <c:dLbl>
              <c:idx val="12"/>
              <c:layout>
                <c:manualLayout>
                  <c:x val="0"/>
                  <c:y val="-6.70859686439126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07-417D-B174-FC6584994588}"/>
                </c:ext>
              </c:extLst>
            </c:dLbl>
            <c:spPr>
              <a:solidFill>
                <a:schemeClr val="bg1"/>
              </a:solidFill>
              <a:ln>
                <a:solidFill>
                  <a:schemeClr val="tx1"/>
                </a:solid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'AEB-10 CapEx 2'!$C$28:$C$33</c:f>
              <c:strCache>
                <c:ptCount val="6"/>
                <c:pt idx="0">
                  <c:v>OGS</c:v>
                </c:pt>
                <c:pt idx="1">
                  <c:v>NWN</c:v>
                </c:pt>
                <c:pt idx="2">
                  <c:v>NI</c:v>
                </c:pt>
                <c:pt idx="3">
                  <c:v>SR</c:v>
                </c:pt>
                <c:pt idx="4">
                  <c:v>ATO</c:v>
                </c:pt>
                <c:pt idx="5">
                  <c:v>CPEE</c:v>
                </c:pt>
              </c:strCache>
            </c:strRef>
          </c:cat>
          <c:val>
            <c:numRef>
              <c:f>'AEB-10 CapEx 2'!$D$28:$D$33</c:f>
              <c:numCache>
                <c:formatCode>0.00%</c:formatCode>
                <c:ptCount val="6"/>
                <c:pt idx="0">
                  <c:v>0.57053254172643109</c:v>
                </c:pt>
                <c:pt idx="1">
                  <c:v>0.61628945801072066</c:v>
                </c:pt>
                <c:pt idx="2">
                  <c:v>0.67929292929292928</c:v>
                </c:pt>
                <c:pt idx="3">
                  <c:v>0.74402567962761079</c:v>
                </c:pt>
                <c:pt idx="4">
                  <c:v>0.84920245320548782</c:v>
                </c:pt>
                <c:pt idx="5">
                  <c:v>1.1532015430174847</c:v>
                </c:pt>
              </c:numCache>
            </c:numRef>
          </c:val>
          <c:extLst>
            <c:ext xmlns:c16="http://schemas.microsoft.com/office/drawing/2014/chart" uri="{C3380CC4-5D6E-409C-BE32-E72D297353CC}">
              <c16:uniqueId val="{0000000D-1407-417D-B174-FC6584994588}"/>
            </c:ext>
          </c:extLst>
        </c:ser>
        <c:dLbls>
          <c:showLegendKey val="0"/>
          <c:showVal val="0"/>
          <c:showCatName val="0"/>
          <c:showSerName val="0"/>
          <c:showPercent val="0"/>
          <c:showBubbleSize val="0"/>
        </c:dLbls>
        <c:gapWidth val="150"/>
        <c:axId val="239033344"/>
        <c:axId val="239055616"/>
      </c:barChart>
      <c:scatterChart>
        <c:scatterStyle val="smoothMarker"/>
        <c:varyColors val="0"/>
        <c:ser>
          <c:idx val="1"/>
          <c:order val="1"/>
          <c:tx>
            <c:v>Median</c:v>
          </c:tx>
          <c:spPr>
            <a:ln>
              <a:solidFill>
                <a:schemeClr val="tx1"/>
              </a:solidFill>
              <a:prstDash val="dash"/>
            </a:ln>
          </c:spPr>
          <c:marker>
            <c:symbol val="none"/>
          </c:marker>
          <c:xVal>
            <c:numRef>
              <c:f>'AEB-10 CapEx 2'!$G$29:$G$30</c:f>
              <c:numCache>
                <c:formatCode>General</c:formatCode>
                <c:ptCount val="2"/>
                <c:pt idx="0">
                  <c:v>0</c:v>
                </c:pt>
                <c:pt idx="1">
                  <c:v>10</c:v>
                </c:pt>
              </c:numCache>
            </c:numRef>
          </c:xVal>
          <c:yVal>
            <c:numRef>
              <c:f>'AEB-10 CapEx 2'!$H$29:$H$30</c:f>
              <c:numCache>
                <c:formatCode>0.00%</c:formatCode>
                <c:ptCount val="2"/>
                <c:pt idx="0">
                  <c:v>0.67929292929292928</c:v>
                </c:pt>
                <c:pt idx="1">
                  <c:v>0.67929292929292928</c:v>
                </c:pt>
              </c:numCache>
            </c:numRef>
          </c:yVal>
          <c:smooth val="1"/>
          <c:extLst>
            <c:ext xmlns:c16="http://schemas.microsoft.com/office/drawing/2014/chart" uri="{C3380CC4-5D6E-409C-BE32-E72D297353CC}">
              <c16:uniqueId val="{0000000E-1407-417D-B174-FC6584994588}"/>
            </c:ext>
          </c:extLst>
        </c:ser>
        <c:dLbls>
          <c:showLegendKey val="0"/>
          <c:showVal val="0"/>
          <c:showCatName val="0"/>
          <c:showSerName val="0"/>
          <c:showPercent val="0"/>
          <c:showBubbleSize val="0"/>
        </c:dLbls>
        <c:axId val="239058944"/>
        <c:axId val="239057152"/>
      </c:scatterChart>
      <c:catAx>
        <c:axId val="239033344"/>
        <c:scaling>
          <c:orientation val="minMax"/>
        </c:scaling>
        <c:delete val="0"/>
        <c:axPos val="b"/>
        <c:numFmt formatCode="General" sourceLinked="0"/>
        <c:majorTickMark val="out"/>
        <c:minorTickMark val="none"/>
        <c:tickLblPos val="nextTo"/>
        <c:crossAx val="239055616"/>
        <c:crosses val="autoZero"/>
        <c:auto val="1"/>
        <c:lblAlgn val="ctr"/>
        <c:lblOffset val="100"/>
        <c:noMultiLvlLbl val="0"/>
      </c:catAx>
      <c:valAx>
        <c:axId val="239055616"/>
        <c:scaling>
          <c:orientation val="minMax"/>
        </c:scaling>
        <c:delete val="0"/>
        <c:axPos val="l"/>
        <c:majorGridlines/>
        <c:numFmt formatCode="0.00%" sourceLinked="1"/>
        <c:majorTickMark val="out"/>
        <c:minorTickMark val="none"/>
        <c:tickLblPos val="nextTo"/>
        <c:crossAx val="239033344"/>
        <c:crosses val="autoZero"/>
        <c:crossBetween val="between"/>
      </c:valAx>
      <c:valAx>
        <c:axId val="239057152"/>
        <c:scaling>
          <c:orientation val="minMax"/>
        </c:scaling>
        <c:delete val="1"/>
        <c:axPos val="r"/>
        <c:numFmt formatCode="0.00%" sourceLinked="1"/>
        <c:majorTickMark val="out"/>
        <c:minorTickMark val="none"/>
        <c:tickLblPos val="none"/>
        <c:crossAx val="239058944"/>
        <c:crosses val="max"/>
        <c:crossBetween val="midCat"/>
      </c:valAx>
      <c:valAx>
        <c:axId val="239058944"/>
        <c:scaling>
          <c:orientation val="minMax"/>
          <c:max val="10"/>
        </c:scaling>
        <c:delete val="0"/>
        <c:axPos val="t"/>
        <c:numFmt formatCode="General" sourceLinked="1"/>
        <c:majorTickMark val="none"/>
        <c:minorTickMark val="none"/>
        <c:tickLblPos val="none"/>
        <c:crossAx val="239057152"/>
        <c:crosses val="max"/>
        <c:crossBetween val="midCat"/>
      </c:valAx>
    </c:plotArea>
    <c:plotVisOnly val="1"/>
    <c:dispBlanksAs val="gap"/>
    <c:showDLblsOverMax val="0"/>
  </c:chart>
  <c:txPr>
    <a:bodyPr/>
    <a:lstStyle/>
    <a:p>
      <a:pPr>
        <a:defRPr sz="800" baseline="0">
          <a:latin typeface="Arial" pitchFamily="34" charset="0"/>
        </a:defRPr>
      </a:pPr>
      <a:endParaRPr lang="en-US"/>
    </a:p>
  </c:txPr>
  <c:printSettings>
    <c:headerFooter/>
    <c:pageMargins b="0.75000000000000311" l="0.70000000000000062" r="0.70000000000000062" t="0.75000000000000311"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266700</xdr:colOff>
      <xdr:row>1</xdr:row>
      <xdr:rowOff>93133</xdr:rowOff>
    </xdr:from>
    <xdr:to>
      <xdr:col>25</xdr:col>
      <xdr:colOff>393699</xdr:colOff>
      <xdr:row>25</xdr:row>
      <xdr:rowOff>50800</xdr:rowOff>
    </xdr:to>
    <xdr:graphicFrame macro="">
      <xdr:nvGraphicFramePr>
        <xdr:cNvPr id="2" name="Chart 1">
          <a:extLst>
            <a:ext uri="{FF2B5EF4-FFF2-40B4-BE49-F238E27FC236}">
              <a16:creationId xmlns:a16="http://schemas.microsoft.com/office/drawing/2014/main" id="{546EE14A-01F5-4140-A19C-BF31367D7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0.28076</cdr:x>
      <cdr:y>0.20954</cdr:y>
    </cdr:from>
    <cdr:to>
      <cdr:x>0.44149</cdr:x>
      <cdr:y>0.25519</cdr:y>
    </cdr:to>
    <cdr:sp macro="" textlink="">
      <cdr:nvSpPr>
        <cdr:cNvPr id="2" name="TextBox 1">
          <a:extLst xmlns:a="http://schemas.openxmlformats.org/drawingml/2006/main">
            <a:ext uri="{FF2B5EF4-FFF2-40B4-BE49-F238E27FC236}">
              <a16:creationId xmlns:a16="http://schemas.microsoft.com/office/drawing/2014/main" id="{0A457792-F7B5-4332-9C14-41224D22A084}"/>
            </a:ext>
          </a:extLst>
        </cdr:cNvPr>
        <cdr:cNvSpPr txBox="1"/>
      </cdr:nvSpPr>
      <cdr:spPr>
        <a:xfrm xmlns:a="http://schemas.openxmlformats.org/drawingml/2006/main">
          <a:off x="2058897" y="1202531"/>
          <a:ext cx="1178718"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0.68049</cdr:x>
      <cdr:y>0.40028</cdr:y>
    </cdr:from>
    <cdr:to>
      <cdr:x>0.78927</cdr:x>
      <cdr:y>0.46045</cdr:y>
    </cdr:to>
    <cdr:sp macro="" textlink="">
      <cdr:nvSpPr>
        <cdr:cNvPr id="3" name="TextBox 2">
          <a:extLst xmlns:a="http://schemas.openxmlformats.org/drawingml/2006/main">
            <a:ext uri="{FF2B5EF4-FFF2-40B4-BE49-F238E27FC236}">
              <a16:creationId xmlns:a16="http://schemas.microsoft.com/office/drawing/2014/main" id="{7380ECD5-C799-4397-B109-C5E8D2582F0D}"/>
            </a:ext>
          </a:extLst>
        </cdr:cNvPr>
        <cdr:cNvSpPr txBox="1"/>
      </cdr:nvSpPr>
      <cdr:spPr>
        <a:xfrm xmlns:a="http://schemas.openxmlformats.org/drawingml/2006/main">
          <a:off x="4831024" y="2163900"/>
          <a:ext cx="772261" cy="3252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panose="02020603050405020304" pitchFamily="18" charset="0"/>
              <a:cs typeface="Times New Roman" panose="02020603050405020304" pitchFamily="18" charset="0"/>
            </a:rPr>
            <a:t>CAPM</a:t>
          </a:r>
        </a:p>
      </cdr:txBody>
    </cdr:sp>
  </cdr:relSizeAnchor>
  <cdr:relSizeAnchor xmlns:cdr="http://schemas.openxmlformats.org/drawingml/2006/chartDrawing">
    <cdr:from>
      <cdr:x>0.76913</cdr:x>
      <cdr:y>0.69525</cdr:y>
    </cdr:from>
    <cdr:to>
      <cdr:x>0.8797</cdr:x>
      <cdr:y>0.74673</cdr:y>
    </cdr:to>
    <cdr:sp macro="" textlink="">
      <cdr:nvSpPr>
        <cdr:cNvPr id="4" name="TextBox 1">
          <a:extLst xmlns:a="http://schemas.openxmlformats.org/drawingml/2006/main">
            <a:ext uri="{FF2B5EF4-FFF2-40B4-BE49-F238E27FC236}">
              <a16:creationId xmlns:a16="http://schemas.microsoft.com/office/drawing/2014/main" id="{5BEB9929-E302-4329-99E6-31AC07649BE9}"/>
            </a:ext>
          </a:extLst>
        </cdr:cNvPr>
        <cdr:cNvSpPr txBox="1"/>
      </cdr:nvSpPr>
      <cdr:spPr>
        <a:xfrm xmlns:a="http://schemas.openxmlformats.org/drawingml/2006/main">
          <a:off x="5723997" y="3705521"/>
          <a:ext cx="822884" cy="2743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Times New Roman" panose="02020603050405020304" pitchFamily="18" charset="0"/>
              <a:cs typeface="Times New Roman" panose="02020603050405020304" pitchFamily="18" charset="0"/>
            </a:rPr>
            <a:t>ECAPM</a:t>
          </a:r>
        </a:p>
      </cdr:txBody>
    </cdr:sp>
  </cdr:relSizeAnchor>
  <cdr:relSizeAnchor xmlns:cdr="http://schemas.openxmlformats.org/drawingml/2006/chartDrawing">
    <cdr:from>
      <cdr:x>0.43987</cdr:x>
      <cdr:y>0.10048</cdr:y>
    </cdr:from>
    <cdr:to>
      <cdr:x>0.76195</cdr:x>
      <cdr:y>0.13564</cdr:y>
    </cdr:to>
    <cdr:sp macro="" textlink="">
      <cdr:nvSpPr>
        <cdr:cNvPr id="8" name="TextBox 1">
          <a:extLst xmlns:a="http://schemas.openxmlformats.org/drawingml/2006/main">
            <a:ext uri="{FF2B5EF4-FFF2-40B4-BE49-F238E27FC236}">
              <a16:creationId xmlns:a16="http://schemas.microsoft.com/office/drawing/2014/main" id="{60524A09-0478-451B-BE21-AFAA95785582}"/>
            </a:ext>
          </a:extLst>
        </cdr:cNvPr>
        <cdr:cNvSpPr txBox="1"/>
      </cdr:nvSpPr>
      <cdr:spPr>
        <a:xfrm xmlns:a="http://schemas.openxmlformats.org/drawingml/2006/main">
          <a:off x="3273600" y="535520"/>
          <a:ext cx="2396984" cy="1873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Times New Roman" panose="02020603050405020304" pitchFamily="18" charset="0"/>
              <a:cs typeface="Times New Roman" panose="02020603050405020304" pitchFamily="18" charset="0"/>
            </a:rPr>
            <a:t>Constant Growth</a:t>
          </a:r>
          <a:r>
            <a:rPr lang="en-US" sz="1200" b="1" baseline="0">
              <a:latin typeface="Times New Roman" panose="02020603050405020304" pitchFamily="18" charset="0"/>
              <a:cs typeface="Times New Roman" panose="02020603050405020304" pitchFamily="18" charset="0"/>
            </a:rPr>
            <a:t> </a:t>
          </a:r>
          <a:r>
            <a:rPr lang="en-US" sz="1200" b="1">
              <a:latin typeface="Times New Roman" panose="02020603050405020304" pitchFamily="18" charset="0"/>
              <a:cs typeface="Times New Roman" panose="02020603050405020304" pitchFamily="18" charset="0"/>
            </a:rPr>
            <a:t>DCF - Mean </a:t>
          </a:r>
        </a:p>
      </cdr:txBody>
    </cdr:sp>
  </cdr:relSizeAnchor>
  <cdr:relSizeAnchor xmlns:cdr="http://schemas.openxmlformats.org/drawingml/2006/chartDrawing">
    <cdr:from>
      <cdr:x>0.51301</cdr:x>
      <cdr:y>0.38559</cdr:y>
    </cdr:from>
    <cdr:to>
      <cdr:x>0.56984</cdr:x>
      <cdr:y>0.38559</cdr:y>
    </cdr:to>
    <cdr:cxnSp macro="">
      <cdr:nvCxnSpPr>
        <cdr:cNvPr id="10" name="Straight Arrow Connector 9">
          <a:extLst xmlns:a="http://schemas.openxmlformats.org/drawingml/2006/main">
            <a:ext uri="{FF2B5EF4-FFF2-40B4-BE49-F238E27FC236}">
              <a16:creationId xmlns:a16="http://schemas.microsoft.com/office/drawing/2014/main" id="{653CABBF-61E2-4E43-AA0A-6C017C891534}"/>
            </a:ext>
          </a:extLst>
        </cdr:cNvPr>
        <cdr:cNvCxnSpPr/>
      </cdr:nvCxnSpPr>
      <cdr:spPr>
        <a:xfrm xmlns:a="http://schemas.openxmlformats.org/drawingml/2006/main" flipV="1">
          <a:off x="4191000" y="2166919"/>
          <a:ext cx="464304" cy="18"/>
        </a:xfrm>
        <a:prstGeom xmlns:a="http://schemas.openxmlformats.org/drawingml/2006/main" prst="straightConnector1">
          <a:avLst/>
        </a:prstGeom>
        <a:ln xmlns:a="http://schemas.openxmlformats.org/drawingml/2006/main" w="19050">
          <a:noFill/>
          <a:prstDash val="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cdr:x>
      <cdr:y>0.26644</cdr:y>
    </cdr:from>
    <cdr:to>
      <cdr:x>0.83167</cdr:x>
      <cdr:y>0.32839</cdr:y>
    </cdr:to>
    <cdr:sp macro="" textlink="">
      <cdr:nvSpPr>
        <cdr:cNvPr id="11" name="TextBox 1">
          <a:extLst xmlns:a="http://schemas.openxmlformats.org/drawingml/2006/main">
            <a:ext uri="{FF2B5EF4-FFF2-40B4-BE49-F238E27FC236}">
              <a16:creationId xmlns:a16="http://schemas.microsoft.com/office/drawing/2014/main" id="{66204D9D-EE32-4988-B6CD-046DA4C804FD}"/>
            </a:ext>
          </a:extLst>
        </cdr:cNvPr>
        <cdr:cNvSpPr txBox="1"/>
      </cdr:nvSpPr>
      <cdr:spPr>
        <a:xfrm xmlns:a="http://schemas.openxmlformats.org/drawingml/2006/main">
          <a:off x="3620607" y="1440381"/>
          <a:ext cx="2283632" cy="334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effectLst/>
              <a:latin typeface="Times New Roman" panose="02020603050405020304" pitchFamily="18" charset="0"/>
              <a:ea typeface="+mn-ea"/>
              <a:cs typeface="Times New Roman" panose="02020603050405020304" pitchFamily="18" charset="0"/>
            </a:rPr>
            <a:t>Constant Growth</a:t>
          </a:r>
          <a:r>
            <a:rPr lang="en-US" sz="1200" b="1" baseline="0">
              <a:effectLst/>
              <a:latin typeface="Times New Roman" panose="02020603050405020304" pitchFamily="18" charset="0"/>
              <a:ea typeface="+mn-ea"/>
              <a:cs typeface="Times New Roman" panose="02020603050405020304" pitchFamily="18" charset="0"/>
            </a:rPr>
            <a:t> </a:t>
          </a:r>
          <a:r>
            <a:rPr lang="en-US" sz="1200" b="1">
              <a:effectLst/>
              <a:latin typeface="Times New Roman" panose="02020603050405020304" pitchFamily="18" charset="0"/>
              <a:ea typeface="+mn-ea"/>
              <a:cs typeface="Times New Roman" panose="02020603050405020304" pitchFamily="18" charset="0"/>
            </a:rPr>
            <a:t>DCF </a:t>
          </a:r>
        </a:p>
        <a:p xmlns:a="http://schemas.openxmlformats.org/drawingml/2006/main">
          <a:pPr algn="ctr"/>
          <a:r>
            <a:rPr lang="en-US" sz="1200" b="1">
              <a:effectLst/>
              <a:latin typeface="Times New Roman" panose="02020603050405020304" pitchFamily="18" charset="0"/>
              <a:ea typeface="+mn-ea"/>
              <a:cs typeface="Times New Roman" panose="02020603050405020304" pitchFamily="18" charset="0"/>
            </a:rPr>
            <a:t>- Median </a:t>
          </a:r>
          <a:endParaRPr lang="en-US" sz="1200">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0.50445</cdr:x>
      <cdr:y>0.7915</cdr:y>
    </cdr:from>
    <cdr:to>
      <cdr:x>0.65785</cdr:x>
      <cdr:y>0.85561</cdr:y>
    </cdr:to>
    <cdr:sp macro="" textlink="">
      <cdr:nvSpPr>
        <cdr:cNvPr id="9" name="TextBox 1">
          <a:extLst xmlns:a="http://schemas.openxmlformats.org/drawingml/2006/main">
            <a:ext uri="{FF2B5EF4-FFF2-40B4-BE49-F238E27FC236}">
              <a16:creationId xmlns:a16="http://schemas.microsoft.com/office/drawing/2014/main" id="{5BEB9929-E302-4329-99E6-31AC07649BE9}"/>
            </a:ext>
          </a:extLst>
        </cdr:cNvPr>
        <cdr:cNvSpPr txBox="1"/>
      </cdr:nvSpPr>
      <cdr:spPr>
        <a:xfrm xmlns:a="http://schemas.openxmlformats.org/drawingml/2006/main">
          <a:off x="3754215" y="4218517"/>
          <a:ext cx="1141635" cy="3416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latin typeface="Times New Roman" panose="02020603050405020304" pitchFamily="18" charset="0"/>
              <a:cs typeface="Times New Roman" panose="02020603050405020304" pitchFamily="18" charset="0"/>
            </a:rPr>
            <a:t>Risk</a:t>
          </a:r>
          <a:r>
            <a:rPr lang="en-US" sz="1200" b="1" baseline="0">
              <a:latin typeface="Times New Roman" panose="02020603050405020304" pitchFamily="18" charset="0"/>
              <a:cs typeface="Times New Roman" panose="02020603050405020304" pitchFamily="18" charset="0"/>
            </a:rPr>
            <a:t> Premium</a:t>
          </a:r>
          <a:endParaRPr lang="en-US" sz="12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0.23038</cdr:x>
      <cdr:y>0.61388</cdr:y>
    </cdr:from>
    <cdr:to>
      <cdr:x>0.38851</cdr:x>
      <cdr:y>0.73908</cdr:y>
    </cdr:to>
    <cdr:sp macro="" textlink="">
      <cdr:nvSpPr>
        <cdr:cNvPr id="12" name="TextBox 1">
          <a:extLst xmlns:a="http://schemas.openxmlformats.org/drawingml/2006/main">
            <a:ext uri="{FF2B5EF4-FFF2-40B4-BE49-F238E27FC236}">
              <a16:creationId xmlns:a16="http://schemas.microsoft.com/office/drawing/2014/main" id="{5BEB9929-E302-4329-99E6-31AC07649BE9}"/>
            </a:ext>
          </a:extLst>
        </cdr:cNvPr>
        <cdr:cNvSpPr txBox="1"/>
      </cdr:nvSpPr>
      <cdr:spPr>
        <a:xfrm xmlns:a="http://schemas.openxmlformats.org/drawingml/2006/main">
          <a:off x="1714534" y="3271837"/>
          <a:ext cx="1176835" cy="6672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latin typeface="Times New Roman" panose="02020603050405020304" pitchFamily="18" charset="0"/>
              <a:cs typeface="Times New Roman" panose="02020603050405020304" pitchFamily="18" charset="0"/>
            </a:rPr>
            <a:t>Company's Requested ROE </a:t>
          </a:r>
        </a:p>
      </cdr:txBody>
    </cdr:sp>
  </cdr:relSizeAnchor>
  <cdr:relSizeAnchor xmlns:cdr="http://schemas.openxmlformats.org/drawingml/2006/chartDrawing">
    <cdr:from>
      <cdr:x>0.36462</cdr:x>
      <cdr:y>0.66717</cdr:y>
    </cdr:from>
    <cdr:to>
      <cdr:x>0.48015</cdr:x>
      <cdr:y>0.66974</cdr:y>
    </cdr:to>
    <cdr:cxnSp macro="">
      <cdr:nvCxnSpPr>
        <cdr:cNvPr id="6" name="Straight Arrow Connector 5">
          <a:extLst xmlns:a="http://schemas.openxmlformats.org/drawingml/2006/main">
            <a:ext uri="{FF2B5EF4-FFF2-40B4-BE49-F238E27FC236}">
              <a16:creationId xmlns:a16="http://schemas.microsoft.com/office/drawing/2014/main" id="{DE4033EE-A4A6-9797-3679-DC0A199D7707}"/>
            </a:ext>
          </a:extLst>
        </cdr:cNvPr>
        <cdr:cNvCxnSpPr/>
      </cdr:nvCxnSpPr>
      <cdr:spPr>
        <a:xfrm xmlns:a="http://schemas.openxmlformats.org/drawingml/2006/main">
          <a:off x="2712417" y="3598226"/>
          <a:ext cx="859458" cy="13866"/>
        </a:xfrm>
        <a:prstGeom xmlns:a="http://schemas.openxmlformats.org/drawingml/2006/main" prst="straightConnector1">
          <a:avLst/>
        </a:prstGeom>
        <a:ln xmlns:a="http://schemas.openxmlformats.org/drawingml/2006/main" w="12700">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0.57629</cdr:x>
      <cdr:y>0.47911</cdr:y>
    </cdr:from>
    <cdr:to>
      <cdr:x>0.76972</cdr:x>
      <cdr:y>0.54598</cdr:y>
    </cdr:to>
    <cdr:sp macro="" textlink="">
      <cdr:nvSpPr>
        <cdr:cNvPr id="13" name="TextBox 1">
          <a:extLst xmlns:a="http://schemas.openxmlformats.org/drawingml/2006/main">
            <a:ext uri="{FF2B5EF4-FFF2-40B4-BE49-F238E27FC236}">
              <a16:creationId xmlns:a16="http://schemas.microsoft.com/office/drawing/2014/main" id="{5BEB9929-E302-4329-99E6-31AC07649BE9}"/>
            </a:ext>
          </a:extLst>
        </cdr:cNvPr>
        <cdr:cNvSpPr txBox="1"/>
      </cdr:nvSpPr>
      <cdr:spPr>
        <a:xfrm xmlns:a="http://schemas.openxmlformats.org/drawingml/2006/main">
          <a:off x="4288868" y="2553560"/>
          <a:ext cx="1439545" cy="3564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1">
              <a:latin typeface="Times New Roman" panose="02020603050405020304" pitchFamily="18" charset="0"/>
              <a:cs typeface="Times New Roman" panose="02020603050405020304" pitchFamily="18" charset="0"/>
            </a:rPr>
            <a:t>Recommended ROE Range</a:t>
          </a:r>
        </a:p>
      </cdr:txBody>
    </cdr:sp>
  </cdr:relSizeAnchor>
  <cdr:relSizeAnchor xmlns:cdr="http://schemas.openxmlformats.org/drawingml/2006/chartDrawing">
    <cdr:from>
      <cdr:x>0.56058</cdr:x>
      <cdr:y>0.57347</cdr:y>
    </cdr:from>
    <cdr:to>
      <cdr:x>0.78328</cdr:x>
      <cdr:y>0.57466</cdr:y>
    </cdr:to>
    <cdr:cxnSp macro="">
      <cdr:nvCxnSpPr>
        <cdr:cNvPr id="15" name="Straight Arrow Connector 14">
          <a:extLst xmlns:a="http://schemas.openxmlformats.org/drawingml/2006/main">
            <a:ext uri="{FF2B5EF4-FFF2-40B4-BE49-F238E27FC236}">
              <a16:creationId xmlns:a16="http://schemas.microsoft.com/office/drawing/2014/main" id="{C738B95A-9F31-E400-41B1-61F0BE66C386}"/>
            </a:ext>
          </a:extLst>
        </cdr:cNvPr>
        <cdr:cNvCxnSpPr/>
      </cdr:nvCxnSpPr>
      <cdr:spPr>
        <a:xfrm xmlns:a="http://schemas.openxmlformats.org/drawingml/2006/main">
          <a:off x="4171927" y="3056484"/>
          <a:ext cx="1657378" cy="6343"/>
        </a:xfrm>
        <a:prstGeom xmlns:a="http://schemas.openxmlformats.org/drawingml/2006/main" prst="straightConnector1">
          <a:avLst/>
        </a:prstGeom>
        <a:ln xmlns:a="http://schemas.openxmlformats.org/drawingml/2006/main" w="12700">
          <a:solidFill>
            <a:schemeClr val="tx1"/>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6</xdr:col>
      <xdr:colOff>7057</xdr:colOff>
      <xdr:row>2</xdr:row>
      <xdr:rowOff>14609</xdr:rowOff>
    </xdr:from>
    <xdr:to>
      <xdr:col>12</xdr:col>
      <xdr:colOff>664884</xdr:colOff>
      <xdr:row>19</xdr:row>
      <xdr:rowOff>43847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303609</xdr:colOff>
      <xdr:row>2</xdr:row>
      <xdr:rowOff>114300</xdr:rowOff>
    </xdr:from>
    <xdr:to>
      <xdr:col>4</xdr:col>
      <xdr:colOff>551259</xdr:colOff>
      <xdr:row>21</xdr:row>
      <xdr:rowOff>133349</xdr:rowOff>
    </xdr:to>
    <xdr:graphicFrame macro="">
      <xdr:nvGraphicFramePr>
        <xdr:cNvPr id="2" name="Chart 1">
          <a:extLst>
            <a:ext uri="{FF2B5EF4-FFF2-40B4-BE49-F238E27FC236}">
              <a16:creationId xmlns:a16="http://schemas.microsoft.com/office/drawing/2014/main" id="{905110F6-F325-4120-90BB-E791C70C4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610619</xdr:colOff>
      <xdr:row>5</xdr:row>
      <xdr:rowOff>104774</xdr:rowOff>
    </xdr:from>
    <xdr:to>
      <xdr:col>2</xdr:col>
      <xdr:colOff>171450</xdr:colOff>
      <xdr:row>7</xdr:row>
      <xdr:rowOff>9525</xdr:rowOff>
    </xdr:to>
    <xdr:sp macro="" textlink="">
      <xdr:nvSpPr>
        <xdr:cNvPr id="3" name="TextBox 1">
          <a:extLst>
            <a:ext uri="{FF2B5EF4-FFF2-40B4-BE49-F238E27FC236}">
              <a16:creationId xmlns:a16="http://schemas.microsoft.com/office/drawing/2014/main" id="{3989EBDD-DEF9-41BB-A73D-28838A3ED798}"/>
            </a:ext>
          </a:extLst>
        </xdr:cNvPr>
        <xdr:cNvSpPr txBox="1"/>
      </xdr:nvSpPr>
      <xdr:spPr>
        <a:xfrm>
          <a:off x="1448819" y="914399"/>
          <a:ext cx="1932556" cy="228601"/>
        </a:xfrm>
        <a:prstGeom prst="rect">
          <a:avLst/>
        </a:prstGeom>
        <a:solidFill>
          <a:schemeClr val="bg1"/>
        </a:solidFill>
        <a:ln>
          <a:solidFill>
            <a:sysClr val="windowText" lastClr="00000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800" b="1"/>
            <a:t>Proxy Group Median = 67.93%</a:t>
          </a:r>
        </a:p>
      </xdr:txBody>
    </xdr:sp>
    <xdr:clientData/>
  </xdr:twoCellAnchor>
  <xdr:twoCellAnchor>
    <xdr:from>
      <xdr:col>1</xdr:col>
      <xdr:colOff>2209800</xdr:colOff>
      <xdr:row>7</xdr:row>
      <xdr:rowOff>6350</xdr:rowOff>
    </xdr:from>
    <xdr:to>
      <xdr:col>2</xdr:col>
      <xdr:colOff>28575</xdr:colOff>
      <xdr:row>11</xdr:row>
      <xdr:rowOff>142875</xdr:rowOff>
    </xdr:to>
    <xdr:cxnSp macro="">
      <xdr:nvCxnSpPr>
        <xdr:cNvPr id="4" name="Straight Arrow Connector 3">
          <a:extLst>
            <a:ext uri="{FF2B5EF4-FFF2-40B4-BE49-F238E27FC236}">
              <a16:creationId xmlns:a16="http://schemas.microsoft.com/office/drawing/2014/main" id="{EE478447-DB76-41B4-B6DD-F5A6493A4F69}"/>
            </a:ext>
          </a:extLst>
        </xdr:cNvPr>
        <xdr:cNvCxnSpPr/>
      </xdr:nvCxnSpPr>
      <xdr:spPr>
        <a:xfrm>
          <a:off x="3086100" y="1139825"/>
          <a:ext cx="304800" cy="7842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428625</xdr:colOff>
      <xdr:row>18</xdr:row>
      <xdr:rowOff>23812</xdr:rowOff>
    </xdr:from>
    <xdr:to>
      <xdr:col>5</xdr:col>
      <xdr:colOff>484654</xdr:colOff>
      <xdr:row>20</xdr:row>
      <xdr:rowOff>152400</xdr:rowOff>
    </xdr:to>
    <xdr:pic>
      <xdr:nvPicPr>
        <xdr:cNvPr id="2" name="Picture 1">
          <a:extLst>
            <a:ext uri="{FF2B5EF4-FFF2-40B4-BE49-F238E27FC236}">
              <a16:creationId xmlns:a16="http://schemas.microsoft.com/office/drawing/2014/main" id="{C805649C-9E92-4A8F-B35C-2DC37F8CA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3462337"/>
          <a:ext cx="1599079" cy="452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Brattle-2020">
      <a:dk1>
        <a:srgbClr val="000000"/>
      </a:dk1>
      <a:lt1>
        <a:srgbClr val="FFFFFF"/>
      </a:lt1>
      <a:dk2>
        <a:srgbClr val="002B54"/>
      </a:dk2>
      <a:lt2>
        <a:srgbClr val="494F56"/>
      </a:lt2>
      <a:accent1>
        <a:srgbClr val="1B3D6F"/>
      </a:accent1>
      <a:accent2>
        <a:srgbClr val="2297AA"/>
      </a:accent2>
      <a:accent3>
        <a:srgbClr val="37BA95"/>
      </a:accent3>
      <a:accent4>
        <a:srgbClr val="F3BD48"/>
      </a:accent4>
      <a:accent5>
        <a:srgbClr val="F26A25"/>
      </a:accent5>
      <a:accent6>
        <a:srgbClr val="CD3E71"/>
      </a:accent6>
      <a:hlink>
        <a:srgbClr val="2297AA"/>
      </a:hlink>
      <a:folHlink>
        <a:srgbClr val="CD3E7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E965-86F1-46D5-A111-AAC6643EA58F}">
  <sheetPr codeName="Sheet1"/>
  <dimension ref="A1"/>
  <sheetViews>
    <sheetView workbookViewId="0"/>
  </sheetViews>
  <sheetFormatPr defaultRowHeight="14.5"/>
  <sheetData>
    <row r="1" spans="1:1">
      <c r="A1" t="s">
        <v>1457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C9F5-D568-4076-A451-F4A65CD1A5C4}">
  <sheetPr codeName="Sheet6">
    <pageSetUpPr fitToPage="1"/>
  </sheetPr>
  <dimension ref="A2:R51"/>
  <sheetViews>
    <sheetView zoomScaleNormal="100" workbookViewId="0">
      <selection activeCell="G52" sqref="G52"/>
    </sheetView>
  </sheetViews>
  <sheetFormatPr defaultColWidth="9.1796875" defaultRowHeight="12.5"/>
  <cols>
    <col min="1" max="1" width="2.54296875" style="227" customWidth="1"/>
    <col min="2" max="2" width="30.54296875" style="227" customWidth="1"/>
    <col min="3" max="3" width="10.54296875" style="227" customWidth="1"/>
    <col min="4" max="4" width="11" style="227" customWidth="1"/>
    <col min="5" max="5" width="8.81640625" style="227" customWidth="1"/>
    <col min="6" max="6" width="10.81640625" style="227" customWidth="1"/>
    <col min="7" max="7" width="14" style="227" customWidth="1"/>
    <col min="8" max="8" width="15" style="227" customWidth="1"/>
    <col min="9" max="9" width="14.81640625" style="227" customWidth="1"/>
    <col min="10" max="10" width="10.54296875" style="227" customWidth="1"/>
    <col min="11" max="11" width="9.1796875" style="227"/>
    <col min="12" max="12" width="12.54296875" style="227" bestFit="1" customWidth="1"/>
    <col min="13" max="13" width="14.54296875" style="227" bestFit="1" customWidth="1"/>
    <col min="14" max="14" width="9.1796875" style="227"/>
    <col min="15" max="15" width="16.54296875" style="227" bestFit="1" customWidth="1"/>
    <col min="16" max="16" width="14.54296875" style="227" bestFit="1" customWidth="1"/>
    <col min="17" max="17" width="9.1796875" style="227"/>
    <col min="18" max="18" width="10.7265625" style="227" bestFit="1" customWidth="1"/>
    <col min="19" max="16384" width="9.1796875" style="227"/>
  </cols>
  <sheetData>
    <row r="2" spans="1:10">
      <c r="A2" s="226" t="s">
        <v>1475</v>
      </c>
      <c r="B2" s="226"/>
      <c r="C2" s="226"/>
      <c r="D2" s="226"/>
      <c r="E2" s="226"/>
      <c r="F2" s="226"/>
      <c r="G2" s="226"/>
      <c r="H2" s="226"/>
      <c r="I2" s="226"/>
      <c r="J2" s="226"/>
    </row>
    <row r="3" spans="1:10" ht="13">
      <c r="A3" s="538" t="s">
        <v>1306</v>
      </c>
      <c r="B3" s="538"/>
      <c r="C3" s="538"/>
      <c r="D3" s="538"/>
      <c r="E3" s="538"/>
      <c r="F3" s="538"/>
      <c r="G3" s="538"/>
      <c r="H3" s="538"/>
      <c r="I3" s="538"/>
      <c r="J3" s="538"/>
    </row>
    <row r="4" spans="1:10" ht="13">
      <c r="A4" s="228"/>
    </row>
    <row r="5" spans="1:10" ht="13.5" thickBot="1">
      <c r="A5" s="228"/>
      <c r="D5" s="229" t="s">
        <v>0</v>
      </c>
      <c r="E5" s="229" t="s">
        <v>1</v>
      </c>
      <c r="F5" s="229" t="s">
        <v>2</v>
      </c>
      <c r="G5" s="229" t="s">
        <v>3</v>
      </c>
      <c r="H5" s="229" t="s">
        <v>4</v>
      </c>
      <c r="I5" s="229" t="s">
        <v>5</v>
      </c>
      <c r="J5" s="229" t="s">
        <v>215</v>
      </c>
    </row>
    <row r="6" spans="1:10" ht="13">
      <c r="A6" s="230"/>
      <c r="B6" s="231"/>
      <c r="C6" s="231"/>
      <c r="D6" s="231"/>
      <c r="E6" s="231"/>
      <c r="F6" s="231"/>
      <c r="G6" s="231"/>
      <c r="H6" s="231"/>
      <c r="I6" s="231"/>
      <c r="J6" s="232" t="s">
        <v>1430</v>
      </c>
    </row>
    <row r="7" spans="1:10">
      <c r="J7" s="229" t="s">
        <v>1307</v>
      </c>
    </row>
    <row r="8" spans="1:10">
      <c r="J8" s="229">
        <f>D9</f>
        <v>2023</v>
      </c>
    </row>
    <row r="9" spans="1:10">
      <c r="A9" s="233"/>
      <c r="B9" s="233"/>
      <c r="C9" s="233"/>
      <c r="D9" s="234">
        <v>2023</v>
      </c>
      <c r="E9" s="234">
        <v>2024</v>
      </c>
      <c r="F9" s="234">
        <f>E9+1</f>
        <v>2025</v>
      </c>
      <c r="G9" s="234">
        <f>F9+1</f>
        <v>2026</v>
      </c>
      <c r="H9" s="234">
        <f>G9+1</f>
        <v>2027</v>
      </c>
      <c r="I9" s="234">
        <f>H9+1</f>
        <v>2028</v>
      </c>
      <c r="J9" s="234" t="s">
        <v>1308</v>
      </c>
    </row>
    <row r="10" spans="1:10">
      <c r="D10" s="229"/>
      <c r="E10" s="229"/>
      <c r="F10" s="229"/>
      <c r="G10" s="229"/>
      <c r="H10" s="229"/>
      <c r="I10" s="229"/>
      <c r="J10" s="229"/>
    </row>
    <row r="11" spans="1:10">
      <c r="A11" s="227" t="s">
        <v>1177</v>
      </c>
      <c r="C11" s="229" t="s">
        <v>457</v>
      </c>
    </row>
    <row r="12" spans="1:10">
      <c r="A12" s="235"/>
      <c r="B12" s="235" t="s">
        <v>1309</v>
      </c>
      <c r="C12" s="236"/>
      <c r="E12" s="237">
        <v>20</v>
      </c>
      <c r="F12" s="237">
        <v>20.25</v>
      </c>
      <c r="G12" s="237">
        <f>AVERAGE(F12,H12)</f>
        <v>20.125</v>
      </c>
      <c r="H12" s="237">
        <v>20</v>
      </c>
      <c r="I12" s="237">
        <f>H12</f>
        <v>20</v>
      </c>
    </row>
    <row r="13" spans="1:10">
      <c r="A13" s="235"/>
      <c r="B13" s="235" t="s">
        <v>1310</v>
      </c>
      <c r="C13" s="236"/>
      <c r="D13" s="233"/>
      <c r="E13" s="238">
        <v>155</v>
      </c>
      <c r="F13" s="238">
        <v>158</v>
      </c>
      <c r="G13" s="238">
        <f>AVERAGE(F13,H13)</f>
        <v>166.5</v>
      </c>
      <c r="H13" s="238">
        <v>175</v>
      </c>
      <c r="I13" s="238">
        <f>H13</f>
        <v>175</v>
      </c>
      <c r="J13" s="233"/>
    </row>
    <row r="14" spans="1:10">
      <c r="A14" s="235"/>
      <c r="B14" s="235" t="s">
        <v>1311</v>
      </c>
      <c r="C14" s="236"/>
      <c r="E14" s="239">
        <f>E12*E13</f>
        <v>3100</v>
      </c>
      <c r="F14" s="239">
        <f>F12*F13</f>
        <v>3199.5</v>
      </c>
      <c r="G14" s="239">
        <f t="shared" ref="G14:I14" si="0">G12*G13</f>
        <v>3350.8125</v>
      </c>
      <c r="H14" s="239">
        <f t="shared" si="0"/>
        <v>3500</v>
      </c>
      <c r="I14" s="239">
        <f t="shared" si="0"/>
        <v>3500</v>
      </c>
      <c r="J14" s="240">
        <f>SUM(E14:I14)/D15</f>
        <v>0.84920245320548782</v>
      </c>
    </row>
    <row r="15" spans="1:10">
      <c r="A15" s="235"/>
      <c r="B15" s="235" t="s">
        <v>1308</v>
      </c>
      <c r="C15" s="236"/>
      <c r="D15" s="239">
        <v>19607</v>
      </c>
    </row>
    <row r="16" spans="1:10">
      <c r="A16" s="227" t="s">
        <v>1178</v>
      </c>
      <c r="B16" s="235"/>
      <c r="C16" s="236" t="s">
        <v>550</v>
      </c>
    </row>
    <row r="17" spans="1:18">
      <c r="A17" s="235"/>
      <c r="B17" s="235" t="s">
        <v>1309</v>
      </c>
      <c r="C17" s="236"/>
      <c r="E17" s="237">
        <v>7</v>
      </c>
      <c r="F17" s="237">
        <v>6.5</v>
      </c>
      <c r="G17" s="237">
        <f>AVERAGE(F17,H17)</f>
        <v>6.625</v>
      </c>
      <c r="H17" s="237">
        <v>6.75</v>
      </c>
      <c r="I17" s="237">
        <f>H17</f>
        <v>6.75</v>
      </c>
    </row>
    <row r="18" spans="1:18">
      <c r="A18" s="235"/>
      <c r="B18" s="235" t="s">
        <v>1310</v>
      </c>
      <c r="C18" s="236"/>
      <c r="D18" s="233"/>
      <c r="E18" s="238">
        <v>450</v>
      </c>
      <c r="F18" s="238">
        <v>450</v>
      </c>
      <c r="G18" s="238">
        <f>AVERAGE(F18,H18)</f>
        <v>450</v>
      </c>
      <c r="H18" s="238">
        <v>450</v>
      </c>
      <c r="I18" s="238">
        <f>H18</f>
        <v>450</v>
      </c>
      <c r="J18" s="233"/>
    </row>
    <row r="19" spans="1:18">
      <c r="A19" s="235"/>
      <c r="B19" s="235" t="s">
        <v>1311</v>
      </c>
      <c r="C19" s="236"/>
      <c r="E19" s="239">
        <f>E17*E18</f>
        <v>3150</v>
      </c>
      <c r="F19" s="239">
        <f>F17*F18</f>
        <v>2925</v>
      </c>
      <c r="G19" s="239">
        <f t="shared" ref="G19:I19" si="1">G17*G18</f>
        <v>2981.25</v>
      </c>
      <c r="H19" s="239">
        <f t="shared" si="1"/>
        <v>3037.5</v>
      </c>
      <c r="I19" s="239">
        <f t="shared" si="1"/>
        <v>3037.5</v>
      </c>
      <c r="J19" s="240">
        <f>SUM(E19:I19)/D20</f>
        <v>0.67929292929292928</v>
      </c>
    </row>
    <row r="20" spans="1:18">
      <c r="A20" s="235"/>
      <c r="B20" s="235" t="s">
        <v>1308</v>
      </c>
      <c r="C20" s="236"/>
      <c r="D20" s="239">
        <v>22275</v>
      </c>
    </row>
    <row r="21" spans="1:18">
      <c r="A21" s="235" t="s">
        <v>1179</v>
      </c>
      <c r="B21" s="235"/>
      <c r="C21" s="229" t="s">
        <v>1180</v>
      </c>
    </row>
    <row r="22" spans="1:18">
      <c r="A22" s="235"/>
      <c r="B22" s="235" t="s">
        <v>1309</v>
      </c>
      <c r="C22" s="236"/>
      <c r="E22" s="237">
        <v>9.25</v>
      </c>
      <c r="F22" s="237">
        <v>9.5</v>
      </c>
      <c r="G22" s="237">
        <f>AVERAGE(F22,H22)</f>
        <v>9.75</v>
      </c>
      <c r="H22" s="237">
        <v>10</v>
      </c>
      <c r="I22" s="237">
        <f>H22</f>
        <v>10</v>
      </c>
    </row>
    <row r="23" spans="1:18">
      <c r="A23" s="235"/>
      <c r="B23" s="235" t="s">
        <v>1310</v>
      </c>
      <c r="C23" s="236"/>
      <c r="D23" s="233"/>
      <c r="E23" s="238">
        <v>39</v>
      </c>
      <c r="F23" s="238">
        <v>41</v>
      </c>
      <c r="G23" s="238">
        <f>AVERAGE(F23,H23)</f>
        <v>43</v>
      </c>
      <c r="H23" s="238">
        <v>45</v>
      </c>
      <c r="I23" s="238">
        <f>H23</f>
        <v>45</v>
      </c>
      <c r="J23" s="233"/>
    </row>
    <row r="24" spans="1:18">
      <c r="A24" s="235"/>
      <c r="B24" s="235" t="s">
        <v>1311</v>
      </c>
      <c r="C24" s="236"/>
      <c r="E24" s="239">
        <f>E22*E23</f>
        <v>360.75</v>
      </c>
      <c r="F24" s="239">
        <f>F22*F23</f>
        <v>389.5</v>
      </c>
      <c r="G24" s="239">
        <f t="shared" ref="G24:I24" si="2">G22*G23</f>
        <v>419.25</v>
      </c>
      <c r="H24" s="239">
        <f t="shared" si="2"/>
        <v>450</v>
      </c>
      <c r="I24" s="239">
        <f t="shared" si="2"/>
        <v>450</v>
      </c>
      <c r="J24" s="240">
        <f>SUM(E24:I24)/D25</f>
        <v>0.61628945801072066</v>
      </c>
    </row>
    <row r="25" spans="1:18">
      <c r="A25" s="235"/>
      <c r="B25" s="235" t="s">
        <v>1308</v>
      </c>
      <c r="C25" s="236"/>
      <c r="D25" s="239">
        <v>3358</v>
      </c>
    </row>
    <row r="26" spans="1:18">
      <c r="A26" s="235" t="s">
        <v>1298</v>
      </c>
      <c r="C26" s="236" t="s">
        <v>1182</v>
      </c>
    </row>
    <row r="27" spans="1:18">
      <c r="A27" s="235"/>
      <c r="B27" s="235" t="s">
        <v>1309</v>
      </c>
      <c r="C27" s="236"/>
      <c r="E27" s="237">
        <v>11.95</v>
      </c>
      <c r="F27" s="237">
        <v>12.15</v>
      </c>
      <c r="G27" s="237">
        <f>AVERAGE(F27,H27)</f>
        <v>12.375</v>
      </c>
      <c r="H27" s="237">
        <v>12.6</v>
      </c>
      <c r="I27" s="237">
        <f>H27</f>
        <v>12.6</v>
      </c>
    </row>
    <row r="28" spans="1:18">
      <c r="A28" s="235"/>
      <c r="B28" s="235" t="s">
        <v>1310</v>
      </c>
      <c r="C28" s="236"/>
      <c r="D28" s="233"/>
      <c r="E28" s="238">
        <v>56.5</v>
      </c>
      <c r="F28" s="238">
        <v>56.5</v>
      </c>
      <c r="G28" s="238">
        <f>AVERAGE(F28,H28)</f>
        <v>56.75</v>
      </c>
      <c r="H28" s="238">
        <v>57</v>
      </c>
      <c r="I28" s="238">
        <f>H28</f>
        <v>57</v>
      </c>
      <c r="J28" s="233"/>
    </row>
    <row r="29" spans="1:18">
      <c r="A29" s="235"/>
      <c r="B29" s="235" t="s">
        <v>1311</v>
      </c>
      <c r="C29" s="236"/>
      <c r="E29" s="239">
        <f>E27*E28</f>
        <v>675.17499999999995</v>
      </c>
      <c r="F29" s="239">
        <f>F27*F28</f>
        <v>686.47500000000002</v>
      </c>
      <c r="G29" s="239">
        <f t="shared" ref="G29:I29" si="3">G27*G28</f>
        <v>702.28125</v>
      </c>
      <c r="H29" s="239">
        <f t="shared" si="3"/>
        <v>718.19999999999993</v>
      </c>
      <c r="I29" s="239">
        <f t="shared" si="3"/>
        <v>718.19999999999993</v>
      </c>
      <c r="J29" s="240">
        <f>SUM(E29:I29)/D30</f>
        <v>0.57053254172643109</v>
      </c>
    </row>
    <row r="30" spans="1:18">
      <c r="A30" s="235"/>
      <c r="B30" s="235" t="s">
        <v>1308</v>
      </c>
      <c r="C30" s="236"/>
      <c r="D30" s="239">
        <v>6135.2</v>
      </c>
    </row>
    <row r="31" spans="1:18">
      <c r="A31" s="235" t="s">
        <v>1183</v>
      </c>
      <c r="B31" s="235"/>
      <c r="C31" s="241" t="s">
        <v>1184</v>
      </c>
      <c r="R31" s="229"/>
    </row>
    <row r="32" spans="1:18">
      <c r="A32" s="235"/>
      <c r="B32" s="235" t="s">
        <v>1309</v>
      </c>
      <c r="C32" s="241"/>
      <c r="E32" s="237">
        <v>13.7</v>
      </c>
      <c r="F32" s="237">
        <v>13.9</v>
      </c>
      <c r="G32" s="237">
        <f>AVERAGE(F32,H32)</f>
        <v>14.2</v>
      </c>
      <c r="H32" s="237">
        <v>14.5</v>
      </c>
      <c r="I32" s="237">
        <f>H32</f>
        <v>14.5</v>
      </c>
      <c r="M32" s="242"/>
      <c r="R32" s="243"/>
    </row>
    <row r="33" spans="1:18">
      <c r="A33" s="235"/>
      <c r="B33" s="235" t="s">
        <v>1310</v>
      </c>
      <c r="C33" s="241"/>
      <c r="D33" s="233"/>
      <c r="E33" s="238">
        <v>58.5</v>
      </c>
      <c r="F33" s="238">
        <v>60</v>
      </c>
      <c r="G33" s="238">
        <f>AVERAGE(F33,H33)</f>
        <v>61</v>
      </c>
      <c r="H33" s="238">
        <v>62</v>
      </c>
      <c r="I33" s="238">
        <f>H33</f>
        <v>62</v>
      </c>
      <c r="J33" s="233"/>
      <c r="R33" s="243"/>
    </row>
    <row r="34" spans="1:18">
      <c r="A34" s="235"/>
      <c r="B34" s="235" t="s">
        <v>1311</v>
      </c>
      <c r="C34" s="241"/>
      <c r="E34" s="239">
        <f>E32*E33</f>
        <v>801.44999999999993</v>
      </c>
      <c r="F34" s="239">
        <f>F32*F33</f>
        <v>834</v>
      </c>
      <c r="G34" s="239">
        <f t="shared" ref="G34:I34" si="4">G32*G33</f>
        <v>866.19999999999993</v>
      </c>
      <c r="H34" s="239">
        <f t="shared" si="4"/>
        <v>899</v>
      </c>
      <c r="I34" s="239">
        <f t="shared" si="4"/>
        <v>899</v>
      </c>
      <c r="J34" s="240">
        <f>SUM(E34:I34)/D35</f>
        <v>0.74402567962761079</v>
      </c>
    </row>
    <row r="35" spans="1:18">
      <c r="A35" s="235"/>
      <c r="B35" s="235" t="s">
        <v>1308</v>
      </c>
      <c r="C35" s="241"/>
      <c r="D35" s="239">
        <v>5778.9</v>
      </c>
    </row>
    <row r="36" spans="1:18">
      <c r="J36" s="240"/>
    </row>
    <row r="37" spans="1:18">
      <c r="A37" s="227" t="s">
        <v>1564</v>
      </c>
      <c r="C37" s="244" t="s">
        <v>1566</v>
      </c>
      <c r="E37" s="237"/>
      <c r="F37" s="237"/>
      <c r="G37" s="237"/>
      <c r="H37" s="237"/>
      <c r="I37" s="237"/>
      <c r="J37" s="245"/>
    </row>
    <row r="38" spans="1:18">
      <c r="B38" s="227" t="s">
        <v>1312</v>
      </c>
      <c r="D38" s="379"/>
      <c r="E38" s="411">
        <v>47.129294460000004</v>
      </c>
      <c r="F38" s="411">
        <v>53.16557092</v>
      </c>
      <c r="G38" s="411">
        <v>64.186406560000009</v>
      </c>
      <c r="H38" s="411">
        <v>63.2479765</v>
      </c>
      <c r="I38" s="411">
        <v>60.00608536</v>
      </c>
      <c r="J38" s="240">
        <f>SUM(E38:I38)/D39</f>
        <v>1.1532015430174847</v>
      </c>
      <c r="R38" s="246"/>
    </row>
    <row r="39" spans="1:18">
      <c r="B39" s="227" t="s">
        <v>1313</v>
      </c>
      <c r="D39" s="413">
        <v>249.51001456961924</v>
      </c>
      <c r="E39" s="412"/>
      <c r="F39" s="413"/>
      <c r="G39" s="413"/>
      <c r="H39" s="413"/>
      <c r="I39" s="413"/>
      <c r="J39" s="247"/>
      <c r="L39" s="248"/>
    </row>
    <row r="40" spans="1:18" ht="14.5">
      <c r="D40" s="249"/>
      <c r="E40" s="239"/>
      <c r="F40" s="239"/>
      <c r="G40" s="239"/>
      <c r="H40" s="239"/>
      <c r="I40" s="239"/>
      <c r="J40" s="247"/>
      <c r="L40" s="248"/>
      <c r="O40" s="243"/>
      <c r="P40" s="250"/>
    </row>
    <row r="41" spans="1:18">
      <c r="L41" s="251"/>
      <c r="O41" s="252"/>
      <c r="P41" s="251"/>
    </row>
    <row r="42" spans="1:18">
      <c r="D42" s="239"/>
      <c r="F42" s="227" t="s">
        <v>1567</v>
      </c>
      <c r="J42" s="253">
        <f>SUM(E38:I38)</f>
        <v>287.73533379999998</v>
      </c>
      <c r="M42" s="251"/>
      <c r="P42" s="251"/>
    </row>
    <row r="43" spans="1:18">
      <c r="F43" s="227" t="s">
        <v>1568</v>
      </c>
      <c r="J43" s="254">
        <f>J42/5</f>
        <v>57.547066759999993</v>
      </c>
      <c r="M43" s="251"/>
    </row>
    <row r="44" spans="1:18">
      <c r="F44" s="227" t="s">
        <v>1305</v>
      </c>
      <c r="J44" s="247">
        <f>MEDIAN(J11:J35)</f>
        <v>0.67929292929292928</v>
      </c>
    </row>
    <row r="45" spans="1:18">
      <c r="F45" s="227" t="s">
        <v>1569</v>
      </c>
      <c r="J45" s="255">
        <f>J38/J44</f>
        <v>1.697649855148416</v>
      </c>
    </row>
    <row r="46" spans="1:18">
      <c r="J46" s="255"/>
    </row>
    <row r="47" spans="1:18">
      <c r="A47" s="233" t="s">
        <v>15</v>
      </c>
      <c r="B47" s="233"/>
    </row>
    <row r="48" spans="1:18">
      <c r="A48" s="227" t="s">
        <v>1428</v>
      </c>
    </row>
    <row r="49" spans="1:2">
      <c r="A49" s="227" t="s">
        <v>1314</v>
      </c>
    </row>
    <row r="50" spans="1:2">
      <c r="A50" s="227" t="s">
        <v>1570</v>
      </c>
    </row>
    <row r="51" spans="1:2">
      <c r="B51" s="235"/>
    </row>
  </sheetData>
  <mergeCells count="1">
    <mergeCell ref="A3:J3"/>
  </mergeCells>
  <printOptions horizontalCentered="1"/>
  <pageMargins left="0.7" right="0.7" top="1.81" bottom="0.75" header="0.3" footer="0.3"/>
  <pageSetup scale="70" orientation="portrait" useFirstPageNumber="1" r:id="rId1"/>
  <headerFooter scaleWithDoc="0">
    <oddHeader>&amp;RDocket No. U-_____ 
Exhibit AEB-10 
Page &amp;P of 2</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D6EB-6593-455B-AEB1-635D95EE2FA8}">
  <sheetPr codeName="Sheet11">
    <pageSetUpPr fitToPage="1"/>
  </sheetPr>
  <dimension ref="A2:O55"/>
  <sheetViews>
    <sheetView zoomScaleNormal="100" zoomScaleSheetLayoutView="90" workbookViewId="0">
      <selection activeCell="E35" sqref="E35"/>
    </sheetView>
  </sheetViews>
  <sheetFormatPr defaultColWidth="9.1796875" defaultRowHeight="12.5"/>
  <cols>
    <col min="1" max="1" width="12.54296875" style="235" customWidth="1"/>
    <col min="2" max="2" width="35.54296875" style="235" customWidth="1"/>
    <col min="3" max="3" width="21.26953125" style="235" customWidth="1"/>
    <col min="4" max="5" width="12.54296875" style="235" customWidth="1"/>
    <col min="6" max="16384" width="9.1796875" style="235"/>
  </cols>
  <sheetData>
    <row r="2" spans="1:13">
      <c r="A2" s="226" t="s">
        <v>1475</v>
      </c>
      <c r="B2" s="256"/>
      <c r="C2" s="256"/>
      <c r="D2" s="256"/>
      <c r="E2" s="256"/>
      <c r="F2" s="227"/>
      <c r="G2" s="227"/>
      <c r="H2" s="227"/>
      <c r="I2" s="227"/>
      <c r="J2" s="227"/>
      <c r="K2" s="227"/>
      <c r="L2" s="227"/>
      <c r="M2" s="227"/>
    </row>
    <row r="3" spans="1:13">
      <c r="F3" s="227"/>
      <c r="G3" s="227"/>
      <c r="H3" s="227"/>
      <c r="I3" s="227"/>
      <c r="J3" s="227"/>
      <c r="K3" s="227"/>
      <c r="L3" s="227"/>
      <c r="M3" s="227"/>
    </row>
    <row r="4" spans="1:13">
      <c r="F4" s="227"/>
      <c r="G4" s="227"/>
      <c r="H4" s="227"/>
      <c r="I4" s="227"/>
      <c r="J4" s="227"/>
      <c r="K4" s="227"/>
      <c r="L4" s="227"/>
      <c r="M4" s="227"/>
    </row>
    <row r="5" spans="1:13">
      <c r="F5" s="227"/>
      <c r="G5" s="227"/>
      <c r="H5" s="227"/>
      <c r="I5" s="227"/>
      <c r="J5" s="227"/>
      <c r="K5" s="227"/>
      <c r="L5" s="227"/>
      <c r="M5" s="227"/>
    </row>
    <row r="6" spans="1:13">
      <c r="F6" s="227"/>
      <c r="G6" s="227"/>
      <c r="H6" s="227"/>
      <c r="I6" s="227"/>
      <c r="J6" s="227"/>
      <c r="K6" s="227"/>
      <c r="L6" s="227"/>
      <c r="M6" s="227"/>
    </row>
    <row r="7" spans="1:13">
      <c r="F7" s="227"/>
      <c r="G7" s="227"/>
      <c r="H7" s="227"/>
      <c r="I7" s="227"/>
      <c r="J7" s="227"/>
      <c r="K7" s="227"/>
      <c r="L7" s="227"/>
      <c r="M7" s="227"/>
    </row>
    <row r="8" spans="1:13">
      <c r="F8" s="227"/>
      <c r="G8" s="227"/>
      <c r="H8" s="227"/>
      <c r="I8" s="227"/>
      <c r="J8" s="227"/>
      <c r="K8" s="227"/>
      <c r="L8" s="227"/>
      <c r="M8" s="227"/>
    </row>
    <row r="9" spans="1:13">
      <c r="F9" s="227"/>
      <c r="G9" s="227"/>
      <c r="H9" s="227"/>
      <c r="I9" s="227"/>
      <c r="J9" s="227"/>
      <c r="K9" s="227"/>
      <c r="L9" s="227"/>
      <c r="M9" s="227"/>
    </row>
    <row r="10" spans="1:13">
      <c r="F10" s="227"/>
      <c r="G10" s="227"/>
      <c r="H10" s="227"/>
      <c r="I10" s="227"/>
      <c r="J10" s="227"/>
      <c r="K10" s="227"/>
      <c r="L10" s="227"/>
      <c r="M10" s="227"/>
    </row>
    <row r="11" spans="1:13">
      <c r="F11" s="227"/>
      <c r="G11" s="227"/>
      <c r="H11" s="227"/>
      <c r="I11" s="227"/>
      <c r="J11" s="227"/>
      <c r="K11" s="227"/>
      <c r="L11" s="227"/>
      <c r="M11" s="227"/>
    </row>
    <row r="12" spans="1:13">
      <c r="F12" s="227"/>
      <c r="G12" s="227"/>
      <c r="H12" s="227"/>
      <c r="I12" s="227"/>
      <c r="J12" s="227"/>
      <c r="K12" s="227"/>
      <c r="L12" s="227"/>
      <c r="M12" s="227"/>
    </row>
    <row r="13" spans="1:13">
      <c r="F13" s="227"/>
      <c r="G13" s="227"/>
      <c r="H13" s="227"/>
      <c r="I13" s="227"/>
      <c r="J13" s="227"/>
      <c r="K13" s="227"/>
      <c r="L13" s="227"/>
      <c r="M13" s="227"/>
    </row>
    <row r="14" spans="1:13">
      <c r="F14" s="227"/>
      <c r="G14" s="227"/>
      <c r="H14" s="227"/>
      <c r="I14" s="227"/>
      <c r="J14" s="227"/>
      <c r="K14" s="227"/>
      <c r="L14" s="227"/>
      <c r="M14" s="227"/>
    </row>
    <row r="15" spans="1:13">
      <c r="F15" s="227"/>
      <c r="G15" s="227"/>
      <c r="H15" s="227"/>
      <c r="I15" s="227"/>
      <c r="J15" s="227"/>
      <c r="K15" s="227"/>
      <c r="L15" s="227"/>
      <c r="M15" s="227"/>
    </row>
    <row r="16" spans="1:13">
      <c r="F16" s="227"/>
      <c r="G16" s="227"/>
      <c r="H16" s="227"/>
      <c r="I16" s="227"/>
      <c r="J16" s="227"/>
      <c r="K16" s="227"/>
      <c r="L16" s="227"/>
      <c r="M16" s="227"/>
    </row>
    <row r="17" spans="2:15">
      <c r="F17" s="257"/>
      <c r="G17" s="227"/>
      <c r="H17" s="227"/>
      <c r="I17" s="227"/>
      <c r="J17" s="227"/>
      <c r="K17" s="227"/>
      <c r="L17" s="257"/>
      <c r="M17" s="257"/>
      <c r="N17" s="257"/>
      <c r="O17" s="257"/>
    </row>
    <row r="18" spans="2:15">
      <c r="F18" s="257"/>
      <c r="G18" s="227"/>
      <c r="H18" s="227"/>
      <c r="I18" s="227"/>
      <c r="J18" s="227"/>
      <c r="K18" s="227"/>
      <c r="L18" s="257"/>
      <c r="M18" s="257"/>
      <c r="N18" s="257"/>
      <c r="O18" s="257"/>
    </row>
    <row r="19" spans="2:15">
      <c r="F19" s="257"/>
      <c r="G19" s="227"/>
      <c r="H19" s="227"/>
      <c r="I19" s="227"/>
      <c r="J19" s="227"/>
      <c r="K19" s="227"/>
      <c r="L19" s="257"/>
      <c r="M19" s="257"/>
      <c r="N19" s="257"/>
      <c r="O19" s="257"/>
    </row>
    <row r="20" spans="2:15">
      <c r="F20" s="257"/>
      <c r="G20" s="227"/>
      <c r="H20" s="227"/>
      <c r="I20" s="227"/>
      <c r="J20" s="227"/>
      <c r="K20" s="227"/>
      <c r="L20" s="257"/>
      <c r="M20" s="257"/>
      <c r="N20" s="257"/>
      <c r="O20" s="257"/>
    </row>
    <row r="21" spans="2:15">
      <c r="F21" s="257"/>
      <c r="G21" s="227"/>
      <c r="H21" s="227"/>
      <c r="I21" s="227"/>
      <c r="J21" s="227"/>
      <c r="K21" s="227"/>
      <c r="L21" s="257"/>
      <c r="M21" s="257"/>
      <c r="N21" s="257"/>
      <c r="O21" s="257"/>
    </row>
    <row r="22" spans="2:15">
      <c r="F22" s="257"/>
      <c r="G22" s="227"/>
      <c r="H22" s="227"/>
      <c r="I22" s="227"/>
      <c r="J22" s="227"/>
      <c r="K22" s="227"/>
      <c r="L22" s="257"/>
      <c r="M22" s="257"/>
      <c r="N22" s="257"/>
      <c r="O22" s="257"/>
    </row>
    <row r="23" spans="2:15">
      <c r="F23" s="259"/>
      <c r="G23" s="259"/>
      <c r="H23" s="259"/>
      <c r="I23" s="259"/>
      <c r="J23" s="227"/>
      <c r="K23" s="227"/>
      <c r="L23" s="257"/>
      <c r="M23" s="257"/>
      <c r="N23" s="257"/>
      <c r="O23" s="257"/>
    </row>
    <row r="24" spans="2:15" ht="13">
      <c r="B24" s="258" t="s">
        <v>1476</v>
      </c>
      <c r="C24" s="256"/>
      <c r="D24" s="256"/>
      <c r="F24" s="259"/>
      <c r="G24" s="259"/>
      <c r="H24" s="259"/>
      <c r="I24" s="259"/>
      <c r="J24" s="227"/>
      <c r="K24" s="227"/>
      <c r="L24" s="257"/>
      <c r="M24" s="257"/>
      <c r="N24" s="257"/>
      <c r="O24" s="257"/>
    </row>
    <row r="25" spans="2:15">
      <c r="F25" s="259"/>
      <c r="G25" s="259"/>
      <c r="H25" s="259"/>
      <c r="I25" s="259"/>
      <c r="J25" s="227"/>
      <c r="K25" s="227"/>
      <c r="L25" s="257"/>
      <c r="M25" s="257"/>
      <c r="N25" s="257"/>
      <c r="O25" s="257"/>
    </row>
    <row r="26" spans="2:15" ht="13" thickBot="1">
      <c r="B26" s="236" t="s">
        <v>6</v>
      </c>
      <c r="D26" s="236" t="s">
        <v>1477</v>
      </c>
      <c r="F26" s="259"/>
      <c r="G26" s="259" t="s">
        <v>1315</v>
      </c>
      <c r="H26" s="259"/>
      <c r="I26" s="259"/>
      <c r="J26" s="227"/>
      <c r="K26" s="227"/>
      <c r="L26" s="257"/>
      <c r="M26" s="257"/>
      <c r="N26" s="257"/>
      <c r="O26" s="257"/>
    </row>
    <row r="27" spans="2:15">
      <c r="B27" s="260"/>
      <c r="C27" s="261"/>
      <c r="D27" s="261"/>
      <c r="F27" s="259"/>
      <c r="G27" s="430" t="s">
        <v>1316</v>
      </c>
      <c r="H27" s="430" t="s">
        <v>42</v>
      </c>
      <c r="I27" s="259"/>
      <c r="J27" s="227"/>
      <c r="K27" s="227"/>
      <c r="L27" s="257"/>
      <c r="M27" s="257"/>
      <c r="N27" s="257"/>
      <c r="O27" s="257"/>
    </row>
    <row r="28" spans="2:15">
      <c r="B28" s="227" t="s">
        <v>1298</v>
      </c>
      <c r="C28" s="229" t="s">
        <v>1182</v>
      </c>
      <c r="D28" s="262">
        <f>INDEX('AEB-10 CapEx 1'!J:J, MATCH(C28, 'AEB-10 CapEx 1'!C:C, 0)+3,0)</f>
        <v>0.57053254172643109</v>
      </c>
      <c r="F28" s="259"/>
      <c r="G28" s="259"/>
      <c r="H28" s="259"/>
      <c r="I28" s="259"/>
      <c r="J28" s="227"/>
      <c r="K28" s="227"/>
      <c r="L28" s="257"/>
      <c r="M28" s="257"/>
      <c r="N28" s="257"/>
      <c r="O28" s="257"/>
    </row>
    <row r="29" spans="2:15">
      <c r="B29" s="227" t="s">
        <v>1179</v>
      </c>
      <c r="C29" s="229" t="s">
        <v>1180</v>
      </c>
      <c r="D29" s="262">
        <f>INDEX('AEB-10 CapEx 1'!J:J, MATCH(C29, 'AEB-10 CapEx 1'!C:C, 0)+3,0)</f>
        <v>0.61628945801072066</v>
      </c>
      <c r="F29" s="259"/>
      <c r="G29" s="259">
        <v>0</v>
      </c>
      <c r="H29" s="431">
        <f>D35</f>
        <v>0.67929292929292928</v>
      </c>
      <c r="I29" s="259"/>
      <c r="J29" s="227"/>
      <c r="K29" s="227"/>
      <c r="L29" s="257"/>
      <c r="M29" s="257"/>
      <c r="N29" s="257"/>
      <c r="O29" s="257"/>
    </row>
    <row r="30" spans="2:15">
      <c r="B30" s="227" t="s">
        <v>1178</v>
      </c>
      <c r="C30" s="229" t="s">
        <v>550</v>
      </c>
      <c r="D30" s="262">
        <f>INDEX('AEB-10 CapEx 1'!J:J, MATCH(C30, 'AEB-10 CapEx 1'!C:C, 0)+3,0)</f>
        <v>0.67929292929292928</v>
      </c>
      <c r="F30" s="259"/>
      <c r="G30" s="259">
        <v>10</v>
      </c>
      <c r="H30" s="431">
        <f>D35</f>
        <v>0.67929292929292928</v>
      </c>
      <c r="I30" s="259"/>
      <c r="J30" s="227"/>
      <c r="K30" s="227"/>
      <c r="L30" s="257"/>
      <c r="M30" s="257"/>
      <c r="N30" s="257"/>
      <c r="O30" s="257"/>
    </row>
    <row r="31" spans="2:15">
      <c r="B31" s="227" t="s">
        <v>1183</v>
      </c>
      <c r="C31" s="229" t="s">
        <v>1184</v>
      </c>
      <c r="D31" s="262">
        <f>INDEX('AEB-10 CapEx 1'!J:J, MATCH(C31, 'AEB-10 CapEx 1'!C:C, 0)+3,0)</f>
        <v>0.74402567962761079</v>
      </c>
      <c r="F31" s="259"/>
      <c r="G31" s="259"/>
      <c r="H31" s="259"/>
      <c r="I31" s="259"/>
      <c r="J31" s="227"/>
      <c r="K31" s="227"/>
      <c r="L31" s="257"/>
      <c r="M31" s="257"/>
      <c r="N31" s="257"/>
      <c r="O31" s="257"/>
    </row>
    <row r="32" spans="2:15">
      <c r="B32" s="227" t="s">
        <v>1177</v>
      </c>
      <c r="C32" s="229" t="s">
        <v>457</v>
      </c>
      <c r="D32" s="262">
        <f>INDEX('AEB-10 CapEx 1'!J:J, MATCH(C32, 'AEB-10 CapEx 1'!C:C, 0)+3,0)</f>
        <v>0.84920245320548782</v>
      </c>
      <c r="F32" s="259"/>
      <c r="G32" s="259"/>
      <c r="H32" s="259"/>
      <c r="I32" s="259"/>
      <c r="J32" s="227"/>
      <c r="K32" s="227"/>
      <c r="L32" s="257"/>
      <c r="M32" s="257"/>
      <c r="N32" s="257"/>
      <c r="O32" s="257"/>
    </row>
    <row r="33" spans="2:15" ht="14.5">
      <c r="B33" s="263" t="s">
        <v>1564</v>
      </c>
      <c r="C33" s="244" t="s">
        <v>1566</v>
      </c>
      <c r="D33" s="262">
        <f>'AEB-10 CapEx 1'!J38</f>
        <v>1.1532015430174847</v>
      </c>
      <c r="F33" s="259"/>
      <c r="G33" s="259"/>
      <c r="H33" s="259"/>
      <c r="I33" s="259"/>
      <c r="J33" s="227"/>
      <c r="K33" s="227"/>
      <c r="L33" s="257"/>
      <c r="M33" s="257"/>
      <c r="N33" s="257"/>
      <c r="O33" s="257"/>
    </row>
    <row r="34" spans="2:15">
      <c r="C34" s="227"/>
      <c r="D34" s="227"/>
      <c r="F34" s="257"/>
      <c r="G34" s="227"/>
      <c r="H34" s="227"/>
      <c r="I34" s="227"/>
      <c r="J34" s="227"/>
      <c r="K34" s="227"/>
      <c r="L34" s="257"/>
      <c r="M34" s="257"/>
      <c r="N34" s="257"/>
      <c r="O34" s="257"/>
    </row>
    <row r="35" spans="2:15">
      <c r="B35" s="264" t="s">
        <v>1305</v>
      </c>
      <c r="C35" s="265"/>
      <c r="D35" s="266">
        <f>MEDIAN(D28:D32)</f>
        <v>0.67929292929292928</v>
      </c>
      <c r="E35" s="267"/>
      <c r="F35" s="257"/>
      <c r="G35" s="227"/>
      <c r="H35" s="227"/>
      <c r="I35" s="227"/>
      <c r="J35" s="227"/>
      <c r="K35" s="227"/>
      <c r="L35" s="257"/>
      <c r="M35" s="257"/>
      <c r="N35" s="257"/>
      <c r="O35" s="257"/>
    </row>
    <row r="36" spans="2:15" ht="13" thickBot="1">
      <c r="B36" s="268" t="s">
        <v>1571</v>
      </c>
      <c r="C36" s="269"/>
      <c r="D36" s="270">
        <f>'AEB-10 CapEx 1'!J38/D35</f>
        <v>1.697649855148416</v>
      </c>
      <c r="F36" s="257"/>
      <c r="G36" s="227"/>
      <c r="H36" s="227"/>
      <c r="I36" s="227"/>
      <c r="J36" s="227"/>
      <c r="K36" s="227"/>
      <c r="L36" s="257"/>
      <c r="M36" s="257"/>
      <c r="N36" s="257"/>
      <c r="O36" s="257"/>
    </row>
    <row r="37" spans="2:15">
      <c r="C37" s="227"/>
      <c r="D37" s="271"/>
      <c r="F37" s="257"/>
      <c r="G37" s="227"/>
      <c r="H37" s="227"/>
      <c r="I37" s="227"/>
      <c r="J37" s="227"/>
      <c r="K37" s="227"/>
      <c r="L37" s="257"/>
      <c r="M37" s="257"/>
      <c r="N37" s="257"/>
      <c r="O37" s="257"/>
    </row>
    <row r="38" spans="2:15">
      <c r="C38" s="227"/>
      <c r="D38" s="271"/>
      <c r="F38" s="257"/>
      <c r="G38" s="227"/>
      <c r="H38" s="227"/>
      <c r="I38" s="227"/>
      <c r="J38" s="227"/>
      <c r="K38" s="227"/>
      <c r="L38" s="257"/>
      <c r="M38" s="257"/>
      <c r="N38" s="257"/>
      <c r="O38" s="257"/>
    </row>
    <row r="39" spans="2:15">
      <c r="B39" s="272" t="s">
        <v>15</v>
      </c>
      <c r="F39" s="257"/>
      <c r="G39" s="227"/>
      <c r="H39" s="227"/>
      <c r="I39" s="227"/>
      <c r="J39" s="227"/>
      <c r="K39" s="227"/>
      <c r="L39" s="257"/>
      <c r="M39" s="257"/>
      <c r="N39" s="257"/>
      <c r="O39" s="257"/>
    </row>
    <row r="40" spans="2:15">
      <c r="B40" s="235" t="s">
        <v>1478</v>
      </c>
      <c r="F40" s="257"/>
      <c r="G40" s="227"/>
      <c r="H40" s="227"/>
      <c r="I40" s="227"/>
      <c r="J40" s="227"/>
      <c r="K40" s="227"/>
      <c r="L40" s="257"/>
      <c r="M40" s="257"/>
      <c r="N40" s="257"/>
      <c r="O40" s="257"/>
    </row>
    <row r="41" spans="2:15">
      <c r="F41" s="257"/>
      <c r="G41" s="227"/>
      <c r="H41" s="227"/>
      <c r="I41" s="227"/>
      <c r="J41" s="227"/>
      <c r="K41" s="227"/>
      <c r="L41" s="257"/>
      <c r="M41" s="257"/>
      <c r="N41" s="257"/>
      <c r="O41" s="257"/>
    </row>
    <row r="42" spans="2:15">
      <c r="B42" s="227"/>
      <c r="D42" s="267"/>
      <c r="E42" s="227"/>
      <c r="F42" s="257"/>
      <c r="G42" s="227"/>
      <c r="H42" s="227"/>
      <c r="I42" s="227"/>
      <c r="J42" s="227"/>
      <c r="K42" s="227"/>
      <c r="L42" s="257"/>
      <c r="M42" s="257"/>
      <c r="N42" s="257"/>
      <c r="O42" s="257"/>
    </row>
    <row r="43" spans="2:15">
      <c r="B43" s="227"/>
      <c r="C43" s="229"/>
      <c r="E43" s="227"/>
      <c r="F43" s="257"/>
      <c r="G43" s="227"/>
      <c r="H43" s="227"/>
      <c r="I43" s="227"/>
      <c r="J43" s="227"/>
      <c r="K43" s="227"/>
      <c r="L43" s="257"/>
      <c r="M43" s="257"/>
      <c r="N43" s="257"/>
      <c r="O43" s="257"/>
    </row>
    <row r="44" spans="2:15">
      <c r="B44" s="227"/>
      <c r="E44" s="227"/>
      <c r="F44" s="257"/>
      <c r="G44" s="227"/>
      <c r="H44" s="227"/>
      <c r="I44" s="227"/>
      <c r="J44" s="227"/>
      <c r="K44" s="227"/>
      <c r="L44" s="257"/>
      <c r="M44" s="257"/>
      <c r="N44" s="257"/>
      <c r="O44" s="257"/>
    </row>
    <row r="45" spans="2:15">
      <c r="B45" s="227"/>
      <c r="C45" s="229"/>
      <c r="E45" s="227"/>
      <c r="F45" s="257"/>
      <c r="G45" s="227"/>
      <c r="H45" s="227"/>
      <c r="I45" s="227"/>
      <c r="J45" s="227"/>
      <c r="K45" s="227"/>
      <c r="L45" s="257"/>
      <c r="M45" s="257"/>
      <c r="N45" s="257"/>
      <c r="O45" s="257"/>
    </row>
    <row r="46" spans="2:15">
      <c r="B46" s="227"/>
      <c r="C46" s="227"/>
      <c r="D46" s="227"/>
      <c r="E46" s="227"/>
      <c r="F46" s="257"/>
      <c r="G46" s="227"/>
      <c r="H46" s="227"/>
      <c r="I46" s="227"/>
      <c r="J46" s="227"/>
      <c r="K46" s="227"/>
      <c r="L46" s="257"/>
      <c r="M46" s="257"/>
      <c r="N46" s="257"/>
      <c r="O46" s="257"/>
    </row>
    <row r="47" spans="2:15">
      <c r="B47" s="227"/>
      <c r="C47" s="227"/>
      <c r="D47" s="227"/>
      <c r="E47" s="227"/>
      <c r="F47" s="257"/>
      <c r="G47" s="227"/>
      <c r="H47" s="227"/>
      <c r="I47" s="227"/>
      <c r="J47" s="227"/>
      <c r="K47" s="227"/>
      <c r="L47" s="257"/>
      <c r="M47" s="257"/>
      <c r="N47" s="257"/>
      <c r="O47" s="257"/>
    </row>
    <row r="48" spans="2:15">
      <c r="B48" s="227"/>
      <c r="C48" s="227"/>
      <c r="D48" s="227"/>
      <c r="E48" s="227"/>
      <c r="F48" s="257"/>
      <c r="G48" s="227"/>
      <c r="H48" s="227"/>
      <c r="I48" s="227"/>
      <c r="J48" s="227"/>
      <c r="K48" s="227"/>
      <c r="L48" s="257"/>
      <c r="M48" s="257"/>
      <c r="N48" s="257"/>
      <c r="O48" s="257"/>
    </row>
    <row r="49" spans="2:15">
      <c r="B49" s="227"/>
      <c r="C49" s="227"/>
      <c r="D49" s="227"/>
      <c r="E49" s="227"/>
      <c r="F49" s="257"/>
      <c r="G49" s="227"/>
      <c r="H49" s="227"/>
      <c r="I49" s="227"/>
      <c r="J49" s="227"/>
      <c r="K49" s="227"/>
      <c r="L49" s="257"/>
      <c r="M49" s="257"/>
      <c r="N49" s="257"/>
      <c r="O49" s="257"/>
    </row>
    <row r="50" spans="2:15">
      <c r="B50" s="227"/>
      <c r="C50" s="227"/>
      <c r="D50" s="227"/>
      <c r="E50" s="227"/>
      <c r="F50" s="257"/>
      <c r="G50" s="227"/>
      <c r="H50" s="227"/>
      <c r="I50" s="227"/>
      <c r="J50" s="227"/>
      <c r="K50" s="227"/>
      <c r="L50" s="257"/>
      <c r="M50" s="257"/>
      <c r="N50" s="257"/>
      <c r="O50" s="257"/>
    </row>
    <row r="51" spans="2:15">
      <c r="B51" s="227"/>
      <c r="C51" s="227"/>
      <c r="D51" s="227"/>
      <c r="E51" s="227"/>
      <c r="F51" s="257"/>
      <c r="I51" s="257"/>
      <c r="J51" s="257"/>
      <c r="K51" s="257"/>
      <c r="L51" s="257"/>
      <c r="M51" s="257"/>
      <c r="N51" s="257"/>
      <c r="O51" s="257"/>
    </row>
    <row r="52" spans="2:15">
      <c r="C52" s="227"/>
      <c r="D52" s="227"/>
      <c r="E52" s="227"/>
    </row>
    <row r="53" spans="2:15">
      <c r="C53" s="227"/>
      <c r="D53" s="227"/>
      <c r="E53" s="227"/>
    </row>
    <row r="54" spans="2:15">
      <c r="C54" s="227"/>
      <c r="D54" s="227"/>
      <c r="E54" s="227"/>
    </row>
    <row r="55" spans="2:15">
      <c r="C55" s="227"/>
      <c r="D55" s="227"/>
      <c r="E55" s="227"/>
    </row>
  </sheetData>
  <printOptions horizontalCentered="1"/>
  <pageMargins left="0.7" right="0.7" top="1.76" bottom="0.75" header="0.3" footer="0.3"/>
  <pageSetup scale="86" firstPageNumber="2" orientation="landscape" useFirstPageNumber="1" r:id="rId1"/>
  <headerFooter scaleWithDoc="0">
    <oddHeader>&amp;RDocket No. U-_____ 
Exhibit AEB-10 
Page &amp;P of 2</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62BC-FAB5-46B8-9EBC-60910359C7F8}">
  <sheetPr codeName="Sheet12">
    <pageSetUpPr fitToPage="1"/>
  </sheetPr>
  <dimension ref="A2:O54"/>
  <sheetViews>
    <sheetView zoomScale="85" zoomScaleNormal="85" zoomScaleSheetLayoutView="90" workbookViewId="0">
      <selection activeCell="K53" sqref="K53"/>
    </sheetView>
  </sheetViews>
  <sheetFormatPr defaultColWidth="9.1796875" defaultRowHeight="12.5"/>
  <cols>
    <col min="1" max="1" width="34.453125" style="274" customWidth="1"/>
    <col min="2" max="2" width="38.453125" style="274" customWidth="1"/>
    <col min="3" max="3" width="18.26953125" style="274" bestFit="1" customWidth="1"/>
    <col min="4" max="4" width="11.26953125" style="274" customWidth="1"/>
    <col min="5" max="5" width="16.81640625" style="274" customWidth="1"/>
    <col min="6" max="6" width="16.26953125" style="274" bestFit="1" customWidth="1"/>
    <col min="7" max="7" width="10.54296875" style="274" customWidth="1"/>
    <col min="8" max="8" width="11.453125" style="274" bestFit="1" customWidth="1"/>
    <col min="9" max="9" width="10.54296875" style="274" customWidth="1"/>
    <col min="10" max="10" width="14.453125" style="274" bestFit="1" customWidth="1"/>
    <col min="11" max="11" width="10.54296875" style="274" customWidth="1"/>
    <col min="12" max="13" width="9.1796875" style="274"/>
    <col min="14" max="14" width="12.54296875" style="274" bestFit="1" customWidth="1"/>
    <col min="15" max="15" width="9.1796875" style="274"/>
    <col min="16" max="16" width="10.81640625" style="274" customWidth="1"/>
    <col min="17" max="17" width="4" style="274" customWidth="1"/>
    <col min="18" max="16384" width="9.1796875" style="274"/>
  </cols>
  <sheetData>
    <row r="2" spans="1:15" s="273" customFormat="1" ht="15.5">
      <c r="A2" s="539" t="s">
        <v>1572</v>
      </c>
      <c r="B2" s="539"/>
      <c r="C2" s="539"/>
      <c r="D2" s="539"/>
      <c r="E2" s="539"/>
      <c r="F2" s="539"/>
      <c r="G2" s="539"/>
      <c r="H2" s="539"/>
      <c r="I2" s="539"/>
      <c r="J2" s="539"/>
      <c r="K2" s="539"/>
      <c r="L2" s="539"/>
      <c r="M2" s="539"/>
      <c r="N2" s="539"/>
    </row>
    <row r="3" spans="1:15" ht="15.5">
      <c r="A3" s="540" t="s">
        <v>1317</v>
      </c>
      <c r="B3" s="540"/>
      <c r="C3" s="540"/>
      <c r="D3" s="540"/>
      <c r="E3" s="540"/>
      <c r="F3" s="540"/>
      <c r="G3" s="540"/>
      <c r="H3" s="540"/>
      <c r="I3" s="540"/>
      <c r="J3" s="540"/>
      <c r="K3" s="540"/>
      <c r="L3" s="540"/>
      <c r="M3" s="540"/>
      <c r="N3" s="540"/>
    </row>
    <row r="4" spans="1:15" ht="15.5">
      <c r="A4" s="343"/>
      <c r="B4" s="344"/>
      <c r="C4" s="344"/>
      <c r="D4" s="344"/>
      <c r="E4" s="344"/>
      <c r="F4" s="344"/>
      <c r="G4" s="344"/>
      <c r="H4" s="344"/>
      <c r="I4" s="344"/>
      <c r="J4" s="344"/>
      <c r="K4" s="344"/>
      <c r="L4" s="344"/>
      <c r="M4" s="344"/>
      <c r="N4" s="344"/>
      <c r="O4" s="344"/>
    </row>
    <row r="5" spans="1:15" s="275" customFormat="1" ht="26.25" customHeight="1">
      <c r="A5" s="343"/>
      <c r="B5" s="344"/>
      <c r="C5" s="344"/>
      <c r="D5" s="344"/>
      <c r="E5" s="344"/>
      <c r="F5" s="345" t="s">
        <v>0</v>
      </c>
      <c r="G5" s="346"/>
      <c r="H5" s="345" t="s">
        <v>1</v>
      </c>
      <c r="I5" s="345" t="s">
        <v>2</v>
      </c>
      <c r="J5" s="345" t="s">
        <v>3</v>
      </c>
      <c r="K5" s="344"/>
      <c r="L5" s="345" t="s">
        <v>4</v>
      </c>
      <c r="M5" s="344"/>
      <c r="N5" s="345" t="s">
        <v>5</v>
      </c>
      <c r="O5" s="344"/>
    </row>
    <row r="6" spans="1:15" s="275" customFormat="1" ht="15.5">
      <c r="A6" s="343"/>
      <c r="B6" s="344"/>
      <c r="C6" s="344"/>
      <c r="D6" s="344"/>
      <c r="E6" s="344"/>
      <c r="F6" s="344"/>
      <c r="G6" s="347"/>
      <c r="H6" s="348" t="s">
        <v>1431</v>
      </c>
      <c r="I6" s="348"/>
      <c r="J6" s="348"/>
      <c r="K6" s="348"/>
      <c r="L6" s="348"/>
      <c r="M6" s="344"/>
      <c r="N6" s="344"/>
      <c r="O6" s="344"/>
    </row>
    <row r="7" spans="1:15" ht="15.5">
      <c r="A7" s="349"/>
      <c r="B7" s="350"/>
      <c r="C7" s="350"/>
      <c r="D7" s="350"/>
      <c r="E7" s="350"/>
      <c r="F7" s="351"/>
      <c r="G7" s="352"/>
      <c r="H7" s="344"/>
      <c r="I7" s="345" t="s">
        <v>1432</v>
      </c>
      <c r="J7" s="345" t="s">
        <v>1433</v>
      </c>
      <c r="K7" s="344"/>
      <c r="L7" s="344"/>
      <c r="M7" s="351"/>
      <c r="N7" s="351"/>
      <c r="O7" s="344"/>
    </row>
    <row r="8" spans="1:15" ht="15.5">
      <c r="A8" s="353"/>
      <c r="B8" s="354"/>
      <c r="C8" s="355"/>
      <c r="D8" s="355" t="s">
        <v>1434</v>
      </c>
      <c r="E8" s="355"/>
      <c r="F8" s="345" t="s">
        <v>1319</v>
      </c>
      <c r="G8" s="352"/>
      <c r="H8" s="345" t="s">
        <v>1435</v>
      </c>
      <c r="I8" s="345" t="s">
        <v>1436</v>
      </c>
      <c r="J8" s="345" t="s">
        <v>1437</v>
      </c>
      <c r="K8" s="344"/>
      <c r="L8" s="345" t="s">
        <v>1438</v>
      </c>
      <c r="M8" s="344"/>
      <c r="N8" s="345" t="s">
        <v>1439</v>
      </c>
      <c r="O8" s="344"/>
    </row>
    <row r="9" spans="1:15" ht="16" thickBot="1">
      <c r="A9" s="356" t="s">
        <v>6</v>
      </c>
      <c r="B9" s="357" t="s">
        <v>1318</v>
      </c>
      <c r="C9" s="357" t="s">
        <v>1440</v>
      </c>
      <c r="D9" s="357" t="s">
        <v>1441</v>
      </c>
      <c r="E9" s="357"/>
      <c r="F9" s="358" t="s">
        <v>1442</v>
      </c>
      <c r="G9" s="359"/>
      <c r="H9" s="358" t="s">
        <v>1443</v>
      </c>
      <c r="I9" s="358" t="s">
        <v>1444</v>
      </c>
      <c r="J9" s="358" t="s">
        <v>1445</v>
      </c>
      <c r="K9" s="358"/>
      <c r="L9" s="358" t="s">
        <v>1446</v>
      </c>
      <c r="M9" s="359"/>
      <c r="N9" s="358" t="s">
        <v>1447</v>
      </c>
      <c r="O9" s="344"/>
    </row>
    <row r="10" spans="1:15" ht="15.5">
      <c r="A10" s="134" t="s">
        <v>1177</v>
      </c>
      <c r="B10" s="346"/>
      <c r="C10" s="346"/>
      <c r="D10" s="346"/>
      <c r="E10" s="346"/>
      <c r="F10" s="346"/>
      <c r="G10" s="346"/>
      <c r="H10" s="346"/>
      <c r="I10" s="346"/>
      <c r="J10" s="346"/>
      <c r="K10" s="344"/>
      <c r="L10" s="346"/>
      <c r="M10" s="346"/>
      <c r="N10" s="346"/>
      <c r="O10" s="344"/>
    </row>
    <row r="11" spans="1:15" ht="15.5">
      <c r="A11" s="343"/>
      <c r="B11" s="2" t="s">
        <v>1177</v>
      </c>
      <c r="C11" s="360" t="s">
        <v>1320</v>
      </c>
      <c r="D11" s="361" t="s">
        <v>1321</v>
      </c>
      <c r="E11" s="361"/>
      <c r="F11" s="360" t="s">
        <v>1322</v>
      </c>
      <c r="G11" s="360"/>
      <c r="H11" s="362" t="s">
        <v>1323</v>
      </c>
      <c r="I11" s="362" t="s">
        <v>13</v>
      </c>
      <c r="J11" s="362" t="s">
        <v>13</v>
      </c>
      <c r="K11" s="362"/>
      <c r="L11" s="362" t="str">
        <f t="shared" ref="L11:L16" si="0">IF(AND(H11="No",I11="No",J11="No"),"No","Yes")</f>
        <v>Yes</v>
      </c>
      <c r="M11" s="346"/>
      <c r="N11" s="346" t="s">
        <v>11</v>
      </c>
      <c r="O11" s="344"/>
    </row>
    <row r="12" spans="1:15" ht="15.5">
      <c r="A12" s="134"/>
      <c r="B12" s="2" t="s">
        <v>1177</v>
      </c>
      <c r="C12" s="360" t="s">
        <v>1324</v>
      </c>
      <c r="D12" s="361" t="s">
        <v>1321</v>
      </c>
      <c r="E12" s="361"/>
      <c r="F12" s="360" t="s">
        <v>1325</v>
      </c>
      <c r="G12" s="360"/>
      <c r="H12" s="362" t="s">
        <v>1323</v>
      </c>
      <c r="I12" s="362" t="s">
        <v>13</v>
      </c>
      <c r="J12" s="362" t="s">
        <v>13</v>
      </c>
      <c r="K12" s="362"/>
      <c r="L12" s="362" t="str">
        <f t="shared" si="0"/>
        <v>Yes</v>
      </c>
      <c r="M12" s="346"/>
      <c r="N12" s="346" t="s">
        <v>11</v>
      </c>
      <c r="O12" s="344"/>
    </row>
    <row r="13" spans="1:15" ht="15.5">
      <c r="A13" s="134"/>
      <c r="B13" s="2" t="s">
        <v>1177</v>
      </c>
      <c r="C13" s="360" t="s">
        <v>1326</v>
      </c>
      <c r="D13" s="361" t="s">
        <v>1321</v>
      </c>
      <c r="E13" s="361"/>
      <c r="F13" s="360" t="s">
        <v>1322</v>
      </c>
      <c r="G13" s="360"/>
      <c r="H13" s="362" t="s">
        <v>1323</v>
      </c>
      <c r="I13" s="362" t="s">
        <v>11</v>
      </c>
      <c r="J13" s="362" t="s">
        <v>13</v>
      </c>
      <c r="K13" s="362"/>
      <c r="L13" s="362" t="str">
        <f t="shared" si="0"/>
        <v>Yes</v>
      </c>
      <c r="M13" s="346"/>
      <c r="N13" s="346" t="s">
        <v>13</v>
      </c>
      <c r="O13" s="344"/>
    </row>
    <row r="14" spans="1:15" ht="15.5">
      <c r="A14" s="134"/>
      <c r="B14" s="360" t="s">
        <v>1177</v>
      </c>
      <c r="C14" s="360" t="s">
        <v>1327</v>
      </c>
      <c r="D14" s="361" t="s">
        <v>1321</v>
      </c>
      <c r="E14" s="361"/>
      <c r="F14" s="360" t="s">
        <v>1322</v>
      </c>
      <c r="G14" s="360"/>
      <c r="H14" s="362" t="s">
        <v>1323</v>
      </c>
      <c r="I14" s="362" t="s">
        <v>11</v>
      </c>
      <c r="J14" s="362" t="s">
        <v>13</v>
      </c>
      <c r="K14" s="362"/>
      <c r="L14" s="362" t="str">
        <f t="shared" si="0"/>
        <v>Yes</v>
      </c>
      <c r="M14" s="346"/>
      <c r="N14" s="346" t="s">
        <v>11</v>
      </c>
      <c r="O14" s="344"/>
    </row>
    <row r="15" spans="1:15" ht="15.5">
      <c r="A15" s="363"/>
      <c r="B15" s="138" t="s">
        <v>1177</v>
      </c>
      <c r="C15" s="360" t="s">
        <v>1329</v>
      </c>
      <c r="D15" s="361" t="s">
        <v>1321</v>
      </c>
      <c r="E15" s="361"/>
      <c r="F15" s="360" t="s">
        <v>1322</v>
      </c>
      <c r="G15" s="360"/>
      <c r="H15" s="362" t="s">
        <v>1323</v>
      </c>
      <c r="I15" s="362" t="s">
        <v>11</v>
      </c>
      <c r="J15" s="362" t="s">
        <v>13</v>
      </c>
      <c r="K15" s="362"/>
      <c r="L15" s="362" t="str">
        <f t="shared" si="0"/>
        <v>Yes</v>
      </c>
      <c r="M15" s="346"/>
      <c r="N15" s="346" t="s">
        <v>13</v>
      </c>
      <c r="O15" s="344"/>
    </row>
    <row r="16" spans="1:15" ht="15.5">
      <c r="A16" s="364"/>
      <c r="B16" s="360" t="s">
        <v>1177</v>
      </c>
      <c r="C16" s="360" t="s">
        <v>1330</v>
      </c>
      <c r="D16" s="361" t="s">
        <v>1321</v>
      </c>
      <c r="E16" s="361"/>
      <c r="F16" s="360" t="s">
        <v>1322</v>
      </c>
      <c r="G16" s="360"/>
      <c r="H16" s="362" t="s">
        <v>1323</v>
      </c>
      <c r="I16" s="362" t="s">
        <v>11</v>
      </c>
      <c r="J16" s="362" t="s">
        <v>13</v>
      </c>
      <c r="K16" s="362"/>
      <c r="L16" s="362" t="str">
        <f t="shared" si="0"/>
        <v>Yes</v>
      </c>
      <c r="M16" s="346"/>
      <c r="N16" s="346" t="s">
        <v>11</v>
      </c>
      <c r="O16" s="344"/>
    </row>
    <row r="17" spans="1:15" ht="15.5">
      <c r="A17" s="363" t="s">
        <v>1178</v>
      </c>
      <c r="B17" s="346"/>
      <c r="C17" s="346"/>
      <c r="D17" s="346"/>
      <c r="E17" s="346"/>
      <c r="F17" s="346"/>
      <c r="G17" s="346"/>
      <c r="H17" s="346"/>
      <c r="I17" s="346"/>
      <c r="J17" s="346"/>
      <c r="K17" s="346"/>
      <c r="L17" s="346"/>
      <c r="M17" s="346"/>
      <c r="N17" s="346"/>
      <c r="O17" s="344"/>
    </row>
    <row r="18" spans="1:15" ht="15.5">
      <c r="A18" s="343"/>
      <c r="B18" s="360" t="s">
        <v>1331</v>
      </c>
      <c r="C18" s="360" t="s">
        <v>1332</v>
      </c>
      <c r="D18" s="361" t="s">
        <v>1333</v>
      </c>
      <c r="E18" s="361"/>
      <c r="F18" s="360" t="s">
        <v>1325</v>
      </c>
      <c r="G18" s="360"/>
      <c r="H18" s="362" t="s">
        <v>1323</v>
      </c>
      <c r="I18" s="362" t="s">
        <v>13</v>
      </c>
      <c r="J18" s="362" t="s">
        <v>13</v>
      </c>
      <c r="K18" s="362"/>
      <c r="L18" s="362" t="str">
        <f t="shared" ref="L18:L24" si="1">IF(AND(H18="No",I18="No",J18="No"),"No","Yes")</f>
        <v>Yes</v>
      </c>
      <c r="M18" s="346"/>
      <c r="N18" s="346" t="s">
        <v>11</v>
      </c>
      <c r="O18" s="344"/>
    </row>
    <row r="19" spans="1:15" ht="15.5">
      <c r="A19" s="343"/>
      <c r="B19" s="360" t="s">
        <v>1331</v>
      </c>
      <c r="C19" s="360" t="s">
        <v>1332</v>
      </c>
      <c r="D19" s="361" t="s">
        <v>1321</v>
      </c>
      <c r="E19" s="361"/>
      <c r="F19" s="360" t="s">
        <v>1325</v>
      </c>
      <c r="G19" s="360"/>
      <c r="H19" s="362" t="s">
        <v>13</v>
      </c>
      <c r="I19" s="362" t="s">
        <v>13</v>
      </c>
      <c r="J19" s="362" t="s">
        <v>13</v>
      </c>
      <c r="K19" s="362"/>
      <c r="L19" s="362" t="str">
        <f t="shared" si="1"/>
        <v>No</v>
      </c>
      <c r="M19" s="346"/>
      <c r="N19" s="346" t="s">
        <v>11</v>
      </c>
      <c r="O19" s="344"/>
    </row>
    <row r="20" spans="1:15" ht="15.5">
      <c r="A20" s="363"/>
      <c r="B20" s="360" t="s">
        <v>1448</v>
      </c>
      <c r="C20" s="360" t="s">
        <v>1324</v>
      </c>
      <c r="D20" s="361" t="s">
        <v>1321</v>
      </c>
      <c r="E20" s="361"/>
      <c r="F20" s="360" t="s">
        <v>1325</v>
      </c>
      <c r="G20" s="360"/>
      <c r="H20" s="362" t="s">
        <v>1323</v>
      </c>
      <c r="I20" s="362" t="s">
        <v>13</v>
      </c>
      <c r="J20" s="362" t="s">
        <v>13</v>
      </c>
      <c r="K20" s="362"/>
      <c r="L20" s="362" t="str">
        <f t="shared" si="1"/>
        <v>Yes</v>
      </c>
      <c r="M20" s="346"/>
      <c r="N20" s="346" t="s">
        <v>11</v>
      </c>
      <c r="O20" s="344"/>
    </row>
    <row r="21" spans="1:15" ht="15.5">
      <c r="A21" s="363"/>
      <c r="B21" s="360" t="s">
        <v>1334</v>
      </c>
      <c r="C21" s="360" t="s">
        <v>1335</v>
      </c>
      <c r="D21" s="361" t="s">
        <v>1321</v>
      </c>
      <c r="E21" s="361"/>
      <c r="F21" s="360" t="s">
        <v>1328</v>
      </c>
      <c r="G21" s="360"/>
      <c r="H21" s="362" t="s">
        <v>1323</v>
      </c>
      <c r="I21" s="362" t="s">
        <v>13</v>
      </c>
      <c r="J21" s="362" t="s">
        <v>13</v>
      </c>
      <c r="K21" s="362"/>
      <c r="L21" s="362" t="str">
        <f t="shared" si="1"/>
        <v>Yes</v>
      </c>
      <c r="M21" s="346"/>
      <c r="N21" s="346" t="s">
        <v>11</v>
      </c>
      <c r="O21" s="344"/>
    </row>
    <row r="22" spans="1:15" ht="15.5">
      <c r="A22" s="363"/>
      <c r="B22" s="360" t="s">
        <v>1336</v>
      </c>
      <c r="C22" s="360" t="s">
        <v>1337</v>
      </c>
      <c r="D22" s="361" t="s">
        <v>1321</v>
      </c>
      <c r="E22" s="361"/>
      <c r="F22" s="360" t="s">
        <v>1328</v>
      </c>
      <c r="G22" s="360"/>
      <c r="H22" s="362" t="s">
        <v>13</v>
      </c>
      <c r="I22" s="362" t="s">
        <v>13</v>
      </c>
      <c r="J22" s="362" t="s">
        <v>11</v>
      </c>
      <c r="K22" s="362"/>
      <c r="L22" s="362" t="str">
        <f t="shared" si="1"/>
        <v>Yes</v>
      </c>
      <c r="M22" s="346"/>
      <c r="N22" s="346" t="s">
        <v>11</v>
      </c>
      <c r="O22" s="344"/>
    </row>
    <row r="23" spans="1:15" ht="15.5">
      <c r="A23" s="363"/>
      <c r="B23" s="360" t="s">
        <v>1338</v>
      </c>
      <c r="C23" s="360" t="s">
        <v>1339</v>
      </c>
      <c r="D23" s="361" t="s">
        <v>1321</v>
      </c>
      <c r="E23" s="361"/>
      <c r="F23" s="360" t="s">
        <v>1325</v>
      </c>
      <c r="G23" s="360"/>
      <c r="H23" s="362" t="s">
        <v>1323</v>
      </c>
      <c r="I23" s="362" t="s">
        <v>13</v>
      </c>
      <c r="J23" s="362" t="s">
        <v>13</v>
      </c>
      <c r="K23" s="362"/>
      <c r="L23" s="362" t="str">
        <f t="shared" si="1"/>
        <v>Yes</v>
      </c>
      <c r="M23" s="346"/>
      <c r="N23" s="346" t="s">
        <v>11</v>
      </c>
      <c r="O23" s="344"/>
    </row>
    <row r="24" spans="1:15" ht="15.5">
      <c r="A24" s="363"/>
      <c r="B24" s="360" t="s">
        <v>1340</v>
      </c>
      <c r="C24" s="360" t="s">
        <v>1341</v>
      </c>
      <c r="D24" s="361" t="s">
        <v>1321</v>
      </c>
      <c r="E24" s="361"/>
      <c r="F24" s="360" t="s">
        <v>1322</v>
      </c>
      <c r="G24" s="360"/>
      <c r="H24" s="362" t="s">
        <v>1323</v>
      </c>
      <c r="I24" s="362" t="s">
        <v>13</v>
      </c>
      <c r="J24" s="362" t="s">
        <v>13</v>
      </c>
      <c r="K24" s="362"/>
      <c r="L24" s="362" t="str">
        <f t="shared" si="1"/>
        <v>Yes</v>
      </c>
      <c r="M24" s="346"/>
      <c r="N24" s="346" t="s">
        <v>11</v>
      </c>
      <c r="O24" s="344"/>
    </row>
    <row r="25" spans="1:15" ht="15.5">
      <c r="A25" s="363" t="s">
        <v>1179</v>
      </c>
      <c r="B25" s="346"/>
      <c r="C25" s="346"/>
      <c r="D25" s="346"/>
      <c r="E25" s="346"/>
      <c r="F25" s="346"/>
      <c r="G25" s="346"/>
      <c r="H25" s="346"/>
      <c r="I25" s="346"/>
      <c r="J25" s="346"/>
      <c r="K25" s="346"/>
      <c r="L25" s="346"/>
      <c r="M25" s="346"/>
      <c r="N25" s="346"/>
      <c r="O25" s="344"/>
    </row>
    <row r="26" spans="1:15" ht="15.5">
      <c r="A26" s="343"/>
      <c r="B26" s="360" t="s">
        <v>1342</v>
      </c>
      <c r="C26" s="360" t="s">
        <v>1343</v>
      </c>
      <c r="D26" s="361" t="s">
        <v>1321</v>
      </c>
      <c r="E26" s="361"/>
      <c r="F26" s="360" t="s">
        <v>1325</v>
      </c>
      <c r="G26" s="360"/>
      <c r="H26" s="362" t="s">
        <v>1323</v>
      </c>
      <c r="I26" s="362" t="s">
        <v>13</v>
      </c>
      <c r="J26" s="362" t="s">
        <v>13</v>
      </c>
      <c r="K26" s="362"/>
      <c r="L26" s="362" t="str">
        <f>IF(AND(H26="No",I26="No",J26="No"),"No","Yes")</f>
        <v>Yes</v>
      </c>
      <c r="M26" s="346"/>
      <c r="N26" s="346" t="s">
        <v>11</v>
      </c>
      <c r="O26" s="344"/>
    </row>
    <row r="27" spans="1:15" ht="15.5">
      <c r="A27" s="363"/>
      <c r="B27" s="360" t="s">
        <v>1342</v>
      </c>
      <c r="C27" s="360" t="s">
        <v>1344</v>
      </c>
      <c r="D27" s="361" t="s">
        <v>1321</v>
      </c>
      <c r="E27" s="361"/>
      <c r="F27" s="360" t="s">
        <v>1322</v>
      </c>
      <c r="G27" s="360"/>
      <c r="H27" s="362" t="s">
        <v>13</v>
      </c>
      <c r="I27" s="362" t="s">
        <v>13</v>
      </c>
      <c r="J27" s="362" t="s">
        <v>13</v>
      </c>
      <c r="K27" s="362"/>
      <c r="L27" s="362" t="str">
        <f>IF(AND(H27="No",I27="No",J27="No"),"No","Yes")</f>
        <v>No</v>
      </c>
      <c r="M27" s="346"/>
      <c r="N27" s="346" t="s">
        <v>13</v>
      </c>
      <c r="O27" s="344"/>
    </row>
    <row r="28" spans="1:15" ht="15.5">
      <c r="A28" s="363" t="s">
        <v>1181</v>
      </c>
      <c r="B28" s="346"/>
      <c r="C28" s="346"/>
      <c r="D28" s="346"/>
      <c r="E28" s="346"/>
      <c r="F28" s="346"/>
      <c r="G28" s="346"/>
      <c r="H28" s="346"/>
      <c r="I28" s="346"/>
      <c r="J28" s="346"/>
      <c r="K28" s="346"/>
      <c r="L28" s="346"/>
      <c r="M28" s="346"/>
      <c r="N28" s="346"/>
      <c r="O28" s="344"/>
    </row>
    <row r="29" spans="1:15" ht="15.5">
      <c r="A29" s="363"/>
      <c r="B29" s="2" t="s">
        <v>1345</v>
      </c>
      <c r="C29" s="365" t="s">
        <v>1320</v>
      </c>
      <c r="D29" s="361" t="s">
        <v>1321</v>
      </c>
      <c r="E29" s="361"/>
      <c r="F29" s="360" t="s">
        <v>1322</v>
      </c>
      <c r="G29" s="360"/>
      <c r="H29" s="362" t="s">
        <v>1323</v>
      </c>
      <c r="I29" s="362" t="s">
        <v>13</v>
      </c>
      <c r="J29" s="362" t="s">
        <v>13</v>
      </c>
      <c r="K29" s="362"/>
      <c r="L29" s="362" t="str">
        <f>IF(AND(H29="No",I29="No",J29="No"),"No","Yes")</f>
        <v>Yes</v>
      </c>
      <c r="M29" s="346"/>
      <c r="N29" s="346" t="s">
        <v>11</v>
      </c>
      <c r="O29" s="344"/>
    </row>
    <row r="30" spans="1:15" ht="15.5">
      <c r="A30" s="363"/>
      <c r="B30" s="2" t="s">
        <v>1346</v>
      </c>
      <c r="C30" s="365" t="s">
        <v>1347</v>
      </c>
      <c r="D30" s="361" t="s">
        <v>1321</v>
      </c>
      <c r="E30" s="361"/>
      <c r="F30" s="360" t="s">
        <v>1322</v>
      </c>
      <c r="G30" s="360"/>
      <c r="H30" s="362" t="s">
        <v>1323</v>
      </c>
      <c r="I30" s="362" t="s">
        <v>11</v>
      </c>
      <c r="J30" s="362" t="s">
        <v>13</v>
      </c>
      <c r="K30" s="362"/>
      <c r="L30" s="362" t="str">
        <f>IF(AND(H30="No",I30="No",J30="No"),"No","Yes")</f>
        <v>Yes</v>
      </c>
      <c r="M30" s="346"/>
      <c r="N30" s="346" t="s">
        <v>13</v>
      </c>
      <c r="O30" s="344"/>
    </row>
    <row r="31" spans="1:15" ht="15.5">
      <c r="A31" s="134"/>
      <c r="B31" s="2" t="s">
        <v>1348</v>
      </c>
      <c r="C31" s="365" t="s">
        <v>1330</v>
      </c>
      <c r="D31" s="361" t="s">
        <v>1321</v>
      </c>
      <c r="E31" s="361"/>
      <c r="F31" s="360" t="s">
        <v>1322</v>
      </c>
      <c r="G31" s="360"/>
      <c r="H31" s="362" t="s">
        <v>1323</v>
      </c>
      <c r="I31" s="362" t="s">
        <v>11</v>
      </c>
      <c r="J31" s="362" t="s">
        <v>13</v>
      </c>
      <c r="K31" s="362"/>
      <c r="L31" s="362" t="str">
        <f>IF(AND(H31="No",I31="No",J31="No"),"No","Yes")</f>
        <v>Yes</v>
      </c>
      <c r="M31" s="346"/>
      <c r="N31" s="346" t="s">
        <v>11</v>
      </c>
      <c r="O31" s="344"/>
    </row>
    <row r="32" spans="1:15" ht="15.5">
      <c r="A32" s="134" t="s">
        <v>1183</v>
      </c>
      <c r="B32" s="346"/>
      <c r="C32" s="346"/>
      <c r="D32" s="346"/>
      <c r="E32" s="346"/>
      <c r="F32" s="346"/>
      <c r="G32" s="346"/>
      <c r="H32" s="346"/>
      <c r="I32" s="346"/>
      <c r="J32" s="346"/>
      <c r="K32" s="346"/>
      <c r="L32" s="346"/>
      <c r="M32" s="346"/>
      <c r="N32" s="346"/>
      <c r="O32" s="344"/>
    </row>
    <row r="33" spans="1:15" ht="15.5">
      <c r="A33" s="343"/>
      <c r="B33" s="2" t="s">
        <v>1349</v>
      </c>
      <c r="C33" s="365" t="s">
        <v>1350</v>
      </c>
      <c r="D33" s="361" t="s">
        <v>1321</v>
      </c>
      <c r="E33" s="361"/>
      <c r="F33" s="360" t="s">
        <v>1325</v>
      </c>
      <c r="G33" s="360"/>
      <c r="H33" s="362" t="s">
        <v>1323</v>
      </c>
      <c r="I33" s="362" t="s">
        <v>11</v>
      </c>
      <c r="J33" s="362" t="s">
        <v>13</v>
      </c>
      <c r="K33" s="362"/>
      <c r="L33" s="362" t="str">
        <f>IF(AND(H33="No",I33="No",J33="No"),"No","Yes")</f>
        <v>Yes</v>
      </c>
      <c r="M33" s="346"/>
      <c r="N33" s="346" t="s">
        <v>13</v>
      </c>
      <c r="O33" s="344"/>
    </row>
    <row r="34" spans="1:15" ht="15.5">
      <c r="A34" s="343"/>
      <c r="B34" s="2" t="s">
        <v>1351</v>
      </c>
      <c r="C34" s="365" t="s">
        <v>1350</v>
      </c>
      <c r="D34" s="361" t="s">
        <v>1321</v>
      </c>
      <c r="E34" s="361"/>
      <c r="F34" s="360" t="s">
        <v>1325</v>
      </c>
      <c r="G34" s="360"/>
      <c r="H34" s="362" t="s">
        <v>1323</v>
      </c>
      <c r="I34" s="362" t="s">
        <v>11</v>
      </c>
      <c r="J34" s="362" t="s">
        <v>13</v>
      </c>
      <c r="K34" s="362"/>
      <c r="L34" s="362" t="str">
        <f>IF(AND(H34="No",I34="No",J34="No"),"No","Yes")</f>
        <v>Yes</v>
      </c>
      <c r="M34" s="346"/>
      <c r="N34" s="346" t="s">
        <v>13</v>
      </c>
      <c r="O34" s="344"/>
    </row>
    <row r="35" spans="1:15" ht="15.5">
      <c r="A35" s="134"/>
      <c r="B35" s="2" t="s">
        <v>1425</v>
      </c>
      <c r="C35" s="360" t="s">
        <v>1352</v>
      </c>
      <c r="D35" s="361" t="s">
        <v>1321</v>
      </c>
      <c r="E35" s="361"/>
      <c r="F35" s="360" t="s">
        <v>1328</v>
      </c>
      <c r="G35" s="360"/>
      <c r="H35" s="362" t="s">
        <v>1323</v>
      </c>
      <c r="I35" s="362" t="s">
        <v>13</v>
      </c>
      <c r="J35" s="362" t="s">
        <v>13</v>
      </c>
      <c r="K35" s="362"/>
      <c r="L35" s="362" t="str">
        <f>IF(AND(H35="No",I35="No",J35="No"),"No","Yes")</f>
        <v>Yes</v>
      </c>
      <c r="M35" s="346"/>
      <c r="N35" s="346" t="s">
        <v>11</v>
      </c>
      <c r="O35" s="344"/>
    </row>
    <row r="36" spans="1:15" ht="15.5">
      <c r="A36" s="134"/>
      <c r="B36" s="346"/>
      <c r="C36" s="344"/>
      <c r="D36" s="344"/>
      <c r="E36" s="344"/>
      <c r="F36" s="344"/>
      <c r="G36" s="344"/>
      <c r="H36" s="344"/>
      <c r="I36" s="344"/>
      <c r="J36" s="344"/>
      <c r="K36" s="344"/>
      <c r="L36" s="344"/>
      <c r="M36" s="344"/>
      <c r="N36" s="344"/>
      <c r="O36" s="344"/>
    </row>
    <row r="37" spans="1:15" ht="16" thickBot="1">
      <c r="A37" s="343"/>
      <c r="B37" s="344"/>
      <c r="C37" s="344"/>
      <c r="D37" s="344"/>
      <c r="E37" s="344"/>
      <c r="F37" s="344"/>
      <c r="G37" s="344"/>
      <c r="H37" s="344"/>
      <c r="I37" s="344"/>
      <c r="J37" s="344"/>
      <c r="K37" s="344"/>
      <c r="L37" s="344"/>
      <c r="M37" s="344"/>
      <c r="N37" s="344"/>
      <c r="O37" s="344"/>
    </row>
    <row r="38" spans="1:15" ht="15.5">
      <c r="A38" s="366"/>
      <c r="B38" s="367"/>
      <c r="C38" s="367"/>
      <c r="D38" s="367"/>
      <c r="E38" s="367"/>
      <c r="F38" s="367"/>
      <c r="G38" s="367"/>
      <c r="H38" s="367"/>
      <c r="I38" s="367"/>
      <c r="J38" s="367"/>
      <c r="K38" s="367"/>
      <c r="L38" s="367"/>
      <c r="M38" s="367"/>
      <c r="N38" s="367"/>
      <c r="O38" s="344"/>
    </row>
    <row r="39" spans="1:15" ht="15.5">
      <c r="A39" s="368" t="s">
        <v>1353</v>
      </c>
      <c r="B39" s="344"/>
      <c r="C39" s="344"/>
      <c r="D39" s="344"/>
      <c r="E39" s="344" t="s">
        <v>1325</v>
      </c>
      <c r="F39" s="346">
        <f>COUNTIFS(F$11:F$35,E39)</f>
        <v>8</v>
      </c>
      <c r="G39" s="346"/>
      <c r="H39" s="369" t="s">
        <v>11</v>
      </c>
      <c r="I39" s="346">
        <f>COUNTIFS(I$11:I$35,H39)</f>
        <v>8</v>
      </c>
      <c r="J39" s="346"/>
      <c r="K39" s="344"/>
      <c r="L39" s="344"/>
      <c r="M39" s="344"/>
      <c r="N39" s="346"/>
      <c r="O39" s="344"/>
    </row>
    <row r="40" spans="1:15" ht="15.5">
      <c r="A40" s="343"/>
      <c r="B40" s="344"/>
      <c r="C40" s="344"/>
      <c r="D40" s="344"/>
      <c r="E40" s="344" t="s">
        <v>1328</v>
      </c>
      <c r="F40" s="346">
        <f>COUNTIFS(F$11:F$35,E40)</f>
        <v>3</v>
      </c>
      <c r="G40" s="346"/>
      <c r="H40" s="369" t="s">
        <v>13</v>
      </c>
      <c r="I40" s="346">
        <f>COUNTIFS(I$11:I$35,H40)</f>
        <v>13</v>
      </c>
      <c r="J40" s="346"/>
      <c r="K40" s="369" t="s">
        <v>11</v>
      </c>
      <c r="L40" s="346">
        <f>COUNTIFS(L$11:L$35,K40)</f>
        <v>19</v>
      </c>
      <c r="M40" s="369" t="s">
        <v>11</v>
      </c>
      <c r="N40" s="346">
        <f>COUNTIFS(N$11:N$35,M40)</f>
        <v>15</v>
      </c>
      <c r="O40" s="344"/>
    </row>
    <row r="41" spans="1:15" ht="12.65" customHeight="1">
      <c r="A41" s="343"/>
      <c r="B41" s="344"/>
      <c r="C41" s="344"/>
      <c r="D41" s="344"/>
      <c r="E41" s="344" t="s">
        <v>1322</v>
      </c>
      <c r="F41" s="346">
        <f>COUNTIFS(F$11:F$35,E41)</f>
        <v>10</v>
      </c>
      <c r="G41" s="346"/>
      <c r="H41" s="346"/>
      <c r="I41" s="346"/>
      <c r="J41" s="346"/>
      <c r="K41" s="369" t="s">
        <v>13</v>
      </c>
      <c r="L41" s="346">
        <f>COUNTIFS(L$11:L$35,K41)</f>
        <v>2</v>
      </c>
      <c r="M41" s="369" t="s">
        <v>13</v>
      </c>
      <c r="N41" s="346">
        <f>COUNTIFS(N$11:N$35,M41)</f>
        <v>6</v>
      </c>
      <c r="O41" s="344"/>
    </row>
    <row r="42" spans="1:15" ht="14.5" customHeight="1">
      <c r="A42" s="343"/>
      <c r="B42" s="344"/>
      <c r="C42" s="344"/>
      <c r="D42" s="344"/>
      <c r="E42" s="344"/>
      <c r="F42" s="346"/>
      <c r="G42" s="346"/>
      <c r="J42" s="346"/>
      <c r="K42" s="346"/>
      <c r="L42" s="346"/>
      <c r="M42" s="346"/>
      <c r="N42" s="346"/>
      <c r="O42" s="344"/>
    </row>
    <row r="43" spans="1:15" ht="26.25" customHeight="1" thickBot="1">
      <c r="A43" s="370"/>
      <c r="B43" s="371"/>
      <c r="C43" s="371"/>
      <c r="D43" s="371"/>
      <c r="E43" s="371" t="s">
        <v>1449</v>
      </c>
      <c r="F43" s="372">
        <f>(F39+F40)/SUM(F39:F41)</f>
        <v>0.52380952380952384</v>
      </c>
      <c r="G43" s="372"/>
      <c r="H43" s="373" t="s">
        <v>1450</v>
      </c>
      <c r="I43" s="372">
        <f>I39/(I39+I40)</f>
        <v>0.38095238095238093</v>
      </c>
      <c r="J43" s="373"/>
      <c r="K43" s="373" t="s">
        <v>1450</v>
      </c>
      <c r="L43" s="372">
        <f>L40/(L40+L41)</f>
        <v>0.90476190476190477</v>
      </c>
      <c r="M43" s="373" t="s">
        <v>1450</v>
      </c>
      <c r="N43" s="372">
        <f>N40/(N40+N41)</f>
        <v>0.7142857142857143</v>
      </c>
      <c r="O43" s="344"/>
    </row>
    <row r="44" spans="1:15" ht="15.5">
      <c r="A44" s="343"/>
      <c r="B44" s="344"/>
      <c r="C44" s="344"/>
      <c r="D44" s="344"/>
      <c r="E44" s="344"/>
      <c r="F44" s="344"/>
      <c r="G44" s="344"/>
      <c r="H44" s="344"/>
      <c r="I44" s="344"/>
      <c r="J44" s="344"/>
      <c r="K44" s="344"/>
      <c r="L44" s="344"/>
      <c r="M44" s="344"/>
      <c r="N44" s="344"/>
      <c r="O44" s="344"/>
    </row>
    <row r="45" spans="1:15" ht="16" thickBot="1">
      <c r="A45" s="370" t="s">
        <v>1573</v>
      </c>
      <c r="B45" s="371"/>
      <c r="C45" s="407" t="s">
        <v>1326</v>
      </c>
      <c r="D45" s="407" t="s">
        <v>1321</v>
      </c>
      <c r="E45" s="407"/>
      <c r="F45" s="408" t="s">
        <v>1322</v>
      </c>
      <c r="G45" s="408"/>
      <c r="H45" s="408" t="s">
        <v>1323</v>
      </c>
      <c r="I45" s="408" t="s">
        <v>11</v>
      </c>
      <c r="J45" s="408" t="s">
        <v>13</v>
      </c>
      <c r="K45" s="409"/>
      <c r="L45" s="408" t="s">
        <v>11</v>
      </c>
      <c r="M45" s="409"/>
      <c r="N45" s="408" t="s">
        <v>13</v>
      </c>
      <c r="O45" s="344"/>
    </row>
    <row r="46" spans="1:15" ht="15.5">
      <c r="A46" s="343"/>
      <c r="B46" s="344"/>
      <c r="C46" s="344"/>
      <c r="D46" s="344"/>
      <c r="E46" s="344"/>
      <c r="F46" s="344"/>
      <c r="G46" s="344"/>
      <c r="H46" s="344"/>
      <c r="I46" s="344"/>
      <c r="J46" s="344"/>
      <c r="K46" s="344"/>
      <c r="L46" s="344"/>
      <c r="M46" s="344"/>
      <c r="N46" s="344"/>
      <c r="O46" s="344"/>
    </row>
    <row r="47" spans="1:15" ht="15.5">
      <c r="A47" s="374" t="s">
        <v>15</v>
      </c>
      <c r="B47" s="344"/>
      <c r="C47" s="344"/>
      <c r="D47" s="344"/>
      <c r="E47" s="344"/>
      <c r="F47" s="344"/>
      <c r="G47" s="344"/>
      <c r="H47" s="344"/>
      <c r="I47" s="344"/>
      <c r="J47" s="344"/>
      <c r="K47" s="344"/>
      <c r="L47" s="344"/>
      <c r="M47" s="344"/>
      <c r="N47" s="344"/>
      <c r="O47" s="344"/>
    </row>
    <row r="48" spans="1:15" ht="15.5">
      <c r="A48" s="375" t="s">
        <v>1479</v>
      </c>
      <c r="B48" s="344"/>
      <c r="C48" s="344"/>
      <c r="D48" s="344"/>
      <c r="E48" s="344"/>
      <c r="F48" s="344"/>
      <c r="G48" s="344"/>
      <c r="H48" s="344"/>
      <c r="I48" s="344"/>
      <c r="J48" s="344"/>
      <c r="K48" s="344"/>
      <c r="L48" s="344"/>
      <c r="M48" s="344"/>
      <c r="N48" s="344"/>
      <c r="O48" s="344"/>
    </row>
    <row r="49" spans="1:15" ht="15.5">
      <c r="A49" s="375" t="s">
        <v>1451</v>
      </c>
      <c r="B49" s="344"/>
      <c r="C49" s="344"/>
      <c r="D49" s="344"/>
      <c r="E49" s="344"/>
      <c r="F49" s="344"/>
      <c r="G49" s="344"/>
      <c r="H49" s="344"/>
      <c r="I49" s="344"/>
      <c r="J49" s="344"/>
      <c r="K49" s="344"/>
      <c r="L49" s="344"/>
      <c r="M49" s="344"/>
      <c r="N49" s="344"/>
      <c r="O49" s="344"/>
    </row>
    <row r="50" spans="1:15" ht="15.5">
      <c r="A50" s="375" t="s">
        <v>1452</v>
      </c>
      <c r="B50" s="344"/>
      <c r="C50" s="344"/>
      <c r="D50" s="344"/>
      <c r="E50" s="344"/>
      <c r="F50" s="344"/>
      <c r="G50" s="344"/>
      <c r="H50" s="344"/>
      <c r="I50" s="344"/>
      <c r="J50" s="344"/>
      <c r="K50" s="344"/>
      <c r="L50" s="344"/>
      <c r="M50" s="344"/>
      <c r="N50" s="344"/>
      <c r="O50" s="344"/>
    </row>
    <row r="51" spans="1:15" ht="15.5">
      <c r="A51" s="375" t="s">
        <v>1480</v>
      </c>
      <c r="B51" s="344"/>
      <c r="C51" s="344"/>
      <c r="D51" s="344"/>
      <c r="E51" s="344"/>
      <c r="F51" s="376"/>
      <c r="G51" s="376"/>
      <c r="H51" s="344"/>
      <c r="I51" s="344"/>
      <c r="J51" s="344"/>
      <c r="K51" s="344"/>
      <c r="L51" s="344"/>
      <c r="M51" s="344"/>
      <c r="N51" s="344"/>
      <c r="O51" s="344"/>
    </row>
    <row r="52" spans="1:15" ht="15.5">
      <c r="A52" s="375" t="s">
        <v>1453</v>
      </c>
      <c r="B52" s="344"/>
      <c r="C52" s="344"/>
      <c r="D52" s="344"/>
      <c r="E52" s="344"/>
      <c r="F52" s="344"/>
      <c r="G52" s="344"/>
      <c r="H52" s="344"/>
      <c r="I52" s="344"/>
      <c r="J52" s="344"/>
      <c r="K52" s="344"/>
      <c r="L52" s="344"/>
      <c r="M52" s="344"/>
      <c r="N52" s="344"/>
      <c r="O52" s="344"/>
    </row>
    <row r="53" spans="1:15" ht="15.5">
      <c r="A53" s="375" t="s">
        <v>1454</v>
      </c>
      <c r="B53" s="377"/>
      <c r="C53" s="377"/>
      <c r="D53" s="377"/>
      <c r="E53" s="377"/>
      <c r="F53" s="377"/>
      <c r="G53" s="377"/>
      <c r="H53" s="377"/>
      <c r="I53" s="377"/>
      <c r="J53" s="377"/>
      <c r="K53" s="377"/>
      <c r="L53" s="377"/>
      <c r="M53" s="377"/>
      <c r="N53" s="377"/>
      <c r="O53" s="344"/>
    </row>
    <row r="54" spans="1:15" ht="15.5">
      <c r="A54" s="363" t="s">
        <v>1455</v>
      </c>
      <c r="B54" s="378"/>
      <c r="C54" s="378"/>
      <c r="D54" s="378"/>
      <c r="E54" s="378"/>
      <c r="F54" s="378"/>
      <c r="G54" s="378"/>
      <c r="H54" s="378"/>
      <c r="I54" s="378"/>
      <c r="J54" s="378"/>
      <c r="K54" s="378"/>
      <c r="L54" s="378"/>
      <c r="M54" s="378"/>
      <c r="N54" s="378"/>
      <c r="O54" s="344"/>
    </row>
  </sheetData>
  <mergeCells count="2">
    <mergeCell ref="A2:N2"/>
    <mergeCell ref="A3:N3"/>
  </mergeCells>
  <conditionalFormatting sqref="B35">
    <cfRule type="expression" dxfId="11" priority="1">
      <formula>#REF!</formula>
    </cfRule>
  </conditionalFormatting>
  <conditionalFormatting sqref="A12:A14 B35 B29:C31 B33:C34 B11:B13 A35:A36 A31:A32">
    <cfRule type="expression" dxfId="10" priority="4">
      <formula>"(blank)"</formula>
    </cfRule>
  </conditionalFormatting>
  <conditionalFormatting sqref="A12:A14 B11:B13">
    <cfRule type="expression" dxfId="9" priority="3">
      <formula>#REF!</formula>
    </cfRule>
  </conditionalFormatting>
  <conditionalFormatting sqref="B29:C31 B33:C34 A35:A36 A31:A32">
    <cfRule type="expression" dxfId="8" priority="2">
      <formula>#REF!</formula>
    </cfRule>
  </conditionalFormatting>
  <printOptions horizontalCentered="1"/>
  <pageMargins left="0.7" right="0.7" top="1.78" bottom="0.75" header="0.25" footer="0.3"/>
  <pageSetup scale="50" orientation="landscape" useFirstPageNumber="1" r:id="rId1"/>
  <headerFooter scaleWithDoc="0">
    <oddHeader>&amp;RDocket No. U-_____ 
Exhibit AEB-11 
Page &amp;P of 1</oddHeader>
  </headerFooter>
  <colBreaks count="1" manualBreakCount="1">
    <brk id="16" max="4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0FD7-F7E2-4572-A5A4-9233E539531E}">
  <sheetPr codeName="Sheet13">
    <pageSetUpPr autoPageBreaks="0"/>
  </sheetPr>
  <dimension ref="B1:R47"/>
  <sheetViews>
    <sheetView zoomScaleNormal="100" workbookViewId="0">
      <selection activeCell="E36" sqref="E36"/>
    </sheetView>
  </sheetViews>
  <sheetFormatPr defaultColWidth="9.1796875" defaultRowHeight="15" customHeight="1"/>
  <cols>
    <col min="1" max="1" width="2.81640625" style="377" customWidth="1"/>
    <col min="2" max="2" width="38.7265625" style="441" customWidth="1"/>
    <col min="3" max="3" width="18.453125" style="442" customWidth="1"/>
    <col min="4" max="4" width="25.453125" style="377" customWidth="1"/>
    <col min="5" max="5" width="15.90625" style="377" customWidth="1"/>
    <col min="6" max="6" width="4.54296875" style="377" customWidth="1"/>
    <col min="7" max="7" width="22.453125" style="377" customWidth="1"/>
    <col min="8" max="8" width="16.453125" style="377" customWidth="1"/>
    <col min="9" max="9" width="6.26953125" style="377" customWidth="1"/>
    <col min="10" max="10" width="4.6328125" style="377" customWidth="1"/>
    <col min="11" max="11" width="13.90625" style="377" bestFit="1" customWidth="1"/>
    <col min="12" max="12" width="17.1796875" style="377" bestFit="1" customWidth="1"/>
    <col min="13" max="13" width="22.7265625" style="377" bestFit="1" customWidth="1"/>
    <col min="14" max="16384" width="9.1796875" style="377"/>
  </cols>
  <sheetData>
    <row r="1" spans="2:13" ht="15.5">
      <c r="B1" s="363"/>
      <c r="C1" s="432"/>
    </row>
    <row r="2" spans="2:13" ht="15.5">
      <c r="B2" s="543" t="s">
        <v>1572</v>
      </c>
      <c r="C2" s="543"/>
      <c r="D2" s="543"/>
      <c r="E2" s="543"/>
    </row>
    <row r="3" spans="2:13" ht="15.5">
      <c r="B3" s="543" t="s">
        <v>1526</v>
      </c>
      <c r="C3" s="543"/>
      <c r="D3" s="543"/>
      <c r="E3" s="543"/>
    </row>
    <row r="5" spans="2:13" ht="16" thickBot="1">
      <c r="B5" s="433"/>
      <c r="C5" s="433"/>
      <c r="D5" s="434" t="s">
        <v>0</v>
      </c>
      <c r="E5" s="434" t="s">
        <v>1</v>
      </c>
      <c r="F5" s="434"/>
    </row>
    <row r="6" spans="2:13" ht="15.5">
      <c r="B6" s="435"/>
      <c r="C6" s="435"/>
      <c r="D6" s="541" t="s">
        <v>1481</v>
      </c>
      <c r="E6" s="541"/>
      <c r="F6" s="434"/>
      <c r="K6"/>
      <c r="L6"/>
      <c r="M6" s="436" t="s">
        <v>1481</v>
      </c>
    </row>
    <row r="7" spans="2:13" ht="15.5">
      <c r="B7" s="437"/>
      <c r="C7" s="437" t="s">
        <v>1482</v>
      </c>
      <c r="D7" s="438" t="s">
        <v>1483</v>
      </c>
      <c r="E7" s="439" t="s">
        <v>1484</v>
      </c>
      <c r="F7" s="440"/>
      <c r="K7"/>
      <c r="L7"/>
      <c r="M7" s="436" t="s">
        <v>1485</v>
      </c>
    </row>
    <row r="8" spans="2:13" ht="15.5">
      <c r="K8"/>
      <c r="L8"/>
      <c r="M8" s="436" t="s">
        <v>1486</v>
      </c>
    </row>
    <row r="9" spans="2:13" ht="16" thickBot="1">
      <c r="B9" s="441" t="s">
        <v>1177</v>
      </c>
      <c r="C9" s="441" t="s">
        <v>1320</v>
      </c>
      <c r="D9" s="416" t="str">
        <f t="shared" ref="D9:D14" si="0">VLOOKUP(C9,$K$10:$M$33,3,FALSE)</f>
        <v>Very Low</v>
      </c>
      <c r="E9" s="236">
        <f>INDEX($H$11:$H$19,MATCH(D9,$G$11:$G$19,0))</f>
        <v>1</v>
      </c>
      <c r="G9" s="542" t="s">
        <v>1529</v>
      </c>
      <c r="H9" s="542"/>
      <c r="K9" s="443" t="s">
        <v>1487</v>
      </c>
      <c r="L9" s="443" t="s">
        <v>1488</v>
      </c>
      <c r="M9" s="443" t="s">
        <v>1489</v>
      </c>
    </row>
    <row r="10" spans="2:13" ht="15.5">
      <c r="C10" s="441" t="s">
        <v>1324</v>
      </c>
      <c r="D10" s="416" t="str">
        <f t="shared" si="0"/>
        <v>Very Low</v>
      </c>
      <c r="E10" s="236">
        <f t="shared" ref="E10:E14" si="1">INDEX($H$11:$H$19,MATCH(D10,$G$11:$G$19,0))</f>
        <v>1</v>
      </c>
      <c r="G10" s="444" t="s">
        <v>1490</v>
      </c>
      <c r="H10" s="444" t="s">
        <v>1491</v>
      </c>
      <c r="K10" t="s">
        <v>1350</v>
      </c>
      <c r="L10" t="s">
        <v>1492</v>
      </c>
      <c r="M10" t="s">
        <v>1494</v>
      </c>
    </row>
    <row r="11" spans="2:13" ht="15.5">
      <c r="C11" s="441" t="s">
        <v>1326</v>
      </c>
      <c r="D11" s="416" t="str">
        <f t="shared" si="0"/>
        <v>Relatively High</v>
      </c>
      <c r="E11" s="236">
        <f t="shared" si="1"/>
        <v>4</v>
      </c>
      <c r="G11" s="445" t="s">
        <v>1495</v>
      </c>
      <c r="H11" s="369">
        <v>5</v>
      </c>
      <c r="K11" t="s">
        <v>1332</v>
      </c>
      <c r="L11" t="s">
        <v>1496</v>
      </c>
      <c r="M11" t="s">
        <v>1493</v>
      </c>
    </row>
    <row r="12" spans="2:13" ht="15.5">
      <c r="C12" s="441" t="s">
        <v>1327</v>
      </c>
      <c r="D12" s="416" t="str">
        <f t="shared" si="0"/>
        <v>Relatively Moderate</v>
      </c>
      <c r="E12" s="236">
        <f t="shared" si="1"/>
        <v>3</v>
      </c>
      <c r="G12" s="445" t="s">
        <v>1497</v>
      </c>
      <c r="H12" s="369">
        <v>4</v>
      </c>
      <c r="K12" t="s">
        <v>1320</v>
      </c>
      <c r="L12" t="s">
        <v>1498</v>
      </c>
      <c r="M12" t="s">
        <v>1493</v>
      </c>
    </row>
    <row r="13" spans="2:13" ht="15.5">
      <c r="C13" s="441" t="s">
        <v>1329</v>
      </c>
      <c r="D13" s="416" t="str">
        <f t="shared" si="0"/>
        <v>Relatively Low</v>
      </c>
      <c r="E13" s="236">
        <f t="shared" si="1"/>
        <v>2</v>
      </c>
      <c r="G13" s="445" t="s">
        <v>1494</v>
      </c>
      <c r="H13" s="369">
        <v>3</v>
      </c>
      <c r="K13" t="s">
        <v>1324</v>
      </c>
      <c r="L13" t="s">
        <v>1500</v>
      </c>
      <c r="M13" t="s">
        <v>1493</v>
      </c>
    </row>
    <row r="14" spans="2:13" ht="15.5">
      <c r="C14" s="441" t="s">
        <v>1330</v>
      </c>
      <c r="D14" s="416" t="str">
        <f t="shared" si="0"/>
        <v>Relatively High</v>
      </c>
      <c r="E14" s="236">
        <f t="shared" si="1"/>
        <v>4</v>
      </c>
      <c r="G14" s="445" t="s">
        <v>1501</v>
      </c>
      <c r="H14" s="369">
        <v>2</v>
      </c>
      <c r="K14" t="s">
        <v>1326</v>
      </c>
      <c r="L14" t="s">
        <v>1502</v>
      </c>
      <c r="M14" t="s">
        <v>1497</v>
      </c>
    </row>
    <row r="15" spans="2:13" ht="15.5">
      <c r="D15" s="416"/>
      <c r="E15" s="236"/>
      <c r="G15" s="445" t="s">
        <v>1493</v>
      </c>
      <c r="H15" s="369">
        <v>1</v>
      </c>
      <c r="K15" t="s">
        <v>1335</v>
      </c>
      <c r="L15" t="s">
        <v>1503</v>
      </c>
      <c r="M15" t="s">
        <v>1494</v>
      </c>
    </row>
    <row r="16" spans="2:13" ht="15.5">
      <c r="B16" s="441" t="s">
        <v>1178</v>
      </c>
      <c r="C16" s="441" t="s">
        <v>1332</v>
      </c>
      <c r="D16" s="416" t="str">
        <f t="shared" ref="D16:D22" si="2">VLOOKUP(C16,$K$10:$M$33,3,FALSE)</f>
        <v>Very Low</v>
      </c>
      <c r="E16" s="236">
        <f>INDEX($H$11:$H$19,MATCH(D16,$G$11:$G$19,0))</f>
        <v>1</v>
      </c>
      <c r="G16" s="445" t="s">
        <v>1499</v>
      </c>
      <c r="H16" s="369">
        <v>0</v>
      </c>
      <c r="K16" t="s">
        <v>1327</v>
      </c>
      <c r="L16" t="s">
        <v>121</v>
      </c>
      <c r="M16" t="s">
        <v>1494</v>
      </c>
    </row>
    <row r="17" spans="2:18" ht="15.5">
      <c r="C17" s="441" t="s">
        <v>1332</v>
      </c>
      <c r="D17" s="416" t="str">
        <f t="shared" si="2"/>
        <v>Very Low</v>
      </c>
      <c r="E17" s="236">
        <f t="shared" ref="E17:E21" si="3">INDEX($H$11:$H$19,MATCH(D17,$G$11:$G$19,0))</f>
        <v>1</v>
      </c>
      <c r="G17" s="445"/>
      <c r="H17" s="369"/>
      <c r="K17" t="s">
        <v>1352</v>
      </c>
      <c r="L17" t="s">
        <v>315</v>
      </c>
      <c r="M17" t="s">
        <v>1493</v>
      </c>
    </row>
    <row r="18" spans="2:18" ht="15.5">
      <c r="C18" s="441" t="s">
        <v>1324</v>
      </c>
      <c r="D18" s="416" t="str">
        <f t="shared" si="2"/>
        <v>Very Low</v>
      </c>
      <c r="E18" s="236">
        <f t="shared" si="3"/>
        <v>1</v>
      </c>
      <c r="G18" s="445"/>
      <c r="H18" s="369"/>
      <c r="K18" t="s">
        <v>1337</v>
      </c>
      <c r="L18" t="s">
        <v>1504</v>
      </c>
      <c r="M18" t="s">
        <v>1501</v>
      </c>
    </row>
    <row r="19" spans="2:18" ht="15.5">
      <c r="C19" s="441" t="s">
        <v>1335</v>
      </c>
      <c r="D19" s="416" t="str">
        <f t="shared" si="2"/>
        <v>Relatively Moderate</v>
      </c>
      <c r="E19" s="236">
        <f t="shared" si="3"/>
        <v>3</v>
      </c>
      <c r="G19" s="445"/>
      <c r="H19" s="369"/>
      <c r="K19" t="s">
        <v>1347</v>
      </c>
      <c r="L19" t="s">
        <v>1505</v>
      </c>
      <c r="M19" t="s">
        <v>1493</v>
      </c>
    </row>
    <row r="20" spans="2:18" ht="15.5">
      <c r="C20" s="441" t="s">
        <v>1337</v>
      </c>
      <c r="D20" s="416" t="str">
        <f t="shared" si="2"/>
        <v>Relatively Low</v>
      </c>
      <c r="E20" s="236">
        <f t="shared" si="3"/>
        <v>2</v>
      </c>
      <c r="K20" t="s">
        <v>1343</v>
      </c>
      <c r="L20" t="s">
        <v>1506</v>
      </c>
      <c r="M20" t="s">
        <v>1499</v>
      </c>
    </row>
    <row r="21" spans="2:18" ht="15.5">
      <c r="C21" s="441" t="s">
        <v>1339</v>
      </c>
      <c r="D21" s="416" t="str">
        <f t="shared" si="2"/>
        <v>Relatively Moderate</v>
      </c>
      <c r="E21" s="236">
        <f t="shared" si="3"/>
        <v>3</v>
      </c>
      <c r="K21" t="s">
        <v>1339</v>
      </c>
      <c r="L21" t="s">
        <v>1507</v>
      </c>
      <c r="M21" t="s">
        <v>1494</v>
      </c>
    </row>
    <row r="22" spans="2:18" ht="15.5">
      <c r="C22" s="441" t="s">
        <v>1341</v>
      </c>
      <c r="D22" s="416" t="str">
        <f t="shared" si="2"/>
        <v>Relatively Moderate</v>
      </c>
      <c r="E22" s="236">
        <f>INDEX($H$11:$H$19,MATCH(D22,$G$11:$G$19,0))</f>
        <v>3</v>
      </c>
      <c r="K22" t="s">
        <v>1329</v>
      </c>
      <c r="L22" t="s">
        <v>1508</v>
      </c>
      <c r="M22" t="s">
        <v>1501</v>
      </c>
    </row>
    <row r="23" spans="2:18" ht="15.5">
      <c r="D23" s="416"/>
      <c r="E23" s="236"/>
      <c r="K23" t="s">
        <v>1330</v>
      </c>
      <c r="L23" t="s">
        <v>1509</v>
      </c>
      <c r="M23" t="s">
        <v>1497</v>
      </c>
    </row>
    <row r="24" spans="2:18" ht="15.5">
      <c r="B24" s="441" t="s">
        <v>1179</v>
      </c>
      <c r="C24" s="442" t="s">
        <v>1343</v>
      </c>
      <c r="D24" s="416" t="str">
        <f>VLOOKUP(C24,$K$10:$M$33,3,FALSE)</f>
        <v>Not Applicable</v>
      </c>
      <c r="E24" s="236">
        <f t="shared" ref="E24:E25" si="4">INDEX($H$11:$H$19,MATCH(D24,$G$11:$G$19,0))</f>
        <v>0</v>
      </c>
      <c r="K24" t="s">
        <v>1341</v>
      </c>
      <c r="L24" t="s">
        <v>1510</v>
      </c>
      <c r="M24" t="s">
        <v>1494</v>
      </c>
    </row>
    <row r="25" spans="2:18" ht="15.5">
      <c r="C25" s="442" t="s">
        <v>1344</v>
      </c>
      <c r="D25" s="416" t="str">
        <f>VLOOKUP(C25,$K$10:$M$33,3,FALSE)</f>
        <v>Not Applicable</v>
      </c>
      <c r="E25" s="236">
        <f t="shared" si="4"/>
        <v>0</v>
      </c>
      <c r="K25" t="s">
        <v>1344</v>
      </c>
      <c r="L25" t="s">
        <v>1511</v>
      </c>
      <c r="M25" t="s">
        <v>1499</v>
      </c>
    </row>
    <row r="26" spans="2:18" ht="15.5">
      <c r="D26" s="416"/>
      <c r="E26" s="236"/>
      <c r="K26"/>
      <c r="L26"/>
      <c r="M26"/>
      <c r="R26"/>
    </row>
    <row r="27" spans="2:18" ht="15.5">
      <c r="B27" s="441" t="s">
        <v>1181</v>
      </c>
      <c r="C27" s="442" t="s">
        <v>1320</v>
      </c>
      <c r="D27" s="416" t="str">
        <f>VLOOKUP(C27,$K$10:$M$33,3,FALSE)</f>
        <v>Very Low</v>
      </c>
      <c r="E27" s="236">
        <f t="shared" ref="E27:E29" si="5">INDEX($H$11:$H$19,MATCH(D27,$G$11:$G$19,0))</f>
        <v>1</v>
      </c>
      <c r="K27"/>
      <c r="L27"/>
      <c r="M27"/>
      <c r="R27"/>
    </row>
    <row r="28" spans="2:18" ht="15.5">
      <c r="C28" s="442" t="s">
        <v>1347</v>
      </c>
      <c r="D28" s="416" t="str">
        <f>VLOOKUP(C28,$K$10:$M$33,3,FALSE)</f>
        <v>Very Low</v>
      </c>
      <c r="E28" s="236">
        <f t="shared" si="5"/>
        <v>1</v>
      </c>
      <c r="K28"/>
      <c r="L28"/>
      <c r="M28"/>
      <c r="R28"/>
    </row>
    <row r="29" spans="2:18" ht="15.5">
      <c r="B29" s="446"/>
      <c r="C29" s="447" t="s">
        <v>1330</v>
      </c>
      <c r="D29" s="416" t="str">
        <f>VLOOKUP(C29,$K$10:$M$33,3,FALSE)</f>
        <v>Relatively High</v>
      </c>
      <c r="E29" s="236">
        <f t="shared" si="5"/>
        <v>4</v>
      </c>
      <c r="K29"/>
      <c r="L29"/>
      <c r="M29"/>
      <c r="R29"/>
    </row>
    <row r="30" spans="2:18" ht="15.5">
      <c r="B30" s="446"/>
      <c r="C30" s="447"/>
      <c r="D30" s="416"/>
      <c r="E30" s="236"/>
      <c r="K30"/>
      <c r="L30"/>
      <c r="M30"/>
      <c r="R30"/>
    </row>
    <row r="31" spans="2:18" ht="15.5">
      <c r="B31" s="446" t="s">
        <v>1183</v>
      </c>
      <c r="C31" s="447" t="s">
        <v>1350</v>
      </c>
      <c r="D31" s="416" t="str">
        <f>VLOOKUP(C31,$K$10:$M$33,3,FALSE)</f>
        <v>Relatively Moderate</v>
      </c>
      <c r="E31" s="236">
        <f t="shared" ref="E31:E33" si="6">INDEX($H$11:$H$19,MATCH(D31,$G$11:$G$19,0))</f>
        <v>3</v>
      </c>
      <c r="K31"/>
      <c r="L31"/>
      <c r="M31"/>
      <c r="R31"/>
    </row>
    <row r="32" spans="2:18" ht="15.5">
      <c r="B32" s="446"/>
      <c r="C32" s="447" t="s">
        <v>1350</v>
      </c>
      <c r="D32" s="416" t="str">
        <f>VLOOKUP(C32,$K$10:$M$33,3,FALSE)</f>
        <v>Relatively Moderate</v>
      </c>
      <c r="E32" s="236">
        <f t="shared" si="6"/>
        <v>3</v>
      </c>
      <c r="K32"/>
      <c r="L32"/>
      <c r="M32"/>
      <c r="R32"/>
    </row>
    <row r="33" spans="2:18" ht="15.5">
      <c r="B33" s="446"/>
      <c r="C33" s="447" t="s">
        <v>1352</v>
      </c>
      <c r="D33" s="416" t="str">
        <f>VLOOKUP(C33,$K$10:$M$33,3,FALSE)</f>
        <v>Very Low</v>
      </c>
      <c r="E33" s="236">
        <f t="shared" si="6"/>
        <v>1</v>
      </c>
      <c r="K33"/>
      <c r="L33"/>
      <c r="M33"/>
      <c r="R33"/>
    </row>
    <row r="34" spans="2:18" ht="15" customHeight="1">
      <c r="D34" s="236"/>
      <c r="E34" s="236"/>
    </row>
    <row r="35" spans="2:18" ht="15.5">
      <c r="B35" s="448" t="s">
        <v>1512</v>
      </c>
      <c r="C35" s="449"/>
      <c r="D35" s="450" t="s">
        <v>1501</v>
      </c>
      <c r="E35" s="451">
        <f>AVERAGE(E9:E33)</f>
        <v>2</v>
      </c>
    </row>
    <row r="36" spans="2:18" ht="15.5">
      <c r="B36" s="452"/>
      <c r="D36" s="236"/>
      <c r="E36" s="236"/>
    </row>
    <row r="37" spans="2:18" ht="16" thickBot="1">
      <c r="B37" s="453" t="s">
        <v>1564</v>
      </c>
      <c r="C37" s="454" t="s">
        <v>1326</v>
      </c>
      <c r="D37" s="455" t="str">
        <f>VLOOKUP(C37,$K$10:$M$33,3,FALSE)</f>
        <v>Relatively High</v>
      </c>
      <c r="E37" s="455">
        <f t="shared" ref="E37" si="7">INDEX($H$11:$H$19,MATCH(D37,$G$11:$G$19,0))</f>
        <v>4</v>
      </c>
    </row>
    <row r="39" spans="2:18" ht="15.5">
      <c r="B39" s="456" t="s">
        <v>1513</v>
      </c>
    </row>
    <row r="40" spans="2:18" ht="15.5">
      <c r="B40" s="457" t="s">
        <v>1527</v>
      </c>
    </row>
    <row r="41" spans="2:18" ht="15.5">
      <c r="B41" s="457" t="s">
        <v>1528</v>
      </c>
    </row>
    <row r="42" spans="2:18" ht="15.5">
      <c r="B42" s="235"/>
      <c r="C42" s="227"/>
    </row>
    <row r="43" spans="2:18" ht="15.5">
      <c r="B43" s="235"/>
      <c r="C43" s="227"/>
    </row>
    <row r="44" spans="2:18" ht="15.5">
      <c r="B44" s="235"/>
      <c r="C44" s="227"/>
    </row>
    <row r="45" spans="2:18" ht="15.5">
      <c r="B45" s="235"/>
      <c r="C45" s="227"/>
    </row>
    <row r="46" spans="2:18" ht="15.5">
      <c r="B46" s="235"/>
      <c r="C46" s="227"/>
    </row>
    <row r="47" spans="2:18" ht="15.5">
      <c r="B47" s="235"/>
      <c r="C47" s="227"/>
    </row>
  </sheetData>
  <mergeCells count="4">
    <mergeCell ref="D6:E6"/>
    <mergeCell ref="G9:H9"/>
    <mergeCell ref="B2:E2"/>
    <mergeCell ref="B3:E3"/>
  </mergeCells>
  <printOptions horizontalCentered="1"/>
  <pageMargins left="0.7" right="0.7" top="0.75" bottom="0.75" header="0.3" footer="0.3"/>
  <pageSetup scale="61" orientation="landscape" horizontalDpi="1200" verticalDpi="1200" r:id="rId1"/>
  <headerFooter scaleWithDoc="0">
    <oddHeader>&amp;RDocket No. U-_____ 
Exhibit AEB-12 
Page &amp;P of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7D25-72BA-4974-BE71-3BA3165FB520}">
  <sheetPr codeName="Sheet14"/>
  <dimension ref="A1:Z59"/>
  <sheetViews>
    <sheetView zoomScaleNormal="100" zoomScaleSheetLayoutView="87" zoomScalePageLayoutView="85" workbookViewId="0">
      <selection activeCell="D52" sqref="D52"/>
    </sheetView>
  </sheetViews>
  <sheetFormatPr defaultColWidth="9.1796875" defaultRowHeight="12.5"/>
  <cols>
    <col min="1" max="1" width="44" style="235" customWidth="1"/>
    <col min="2" max="2" width="10.54296875" style="235" customWidth="1"/>
    <col min="3" max="3" width="13.26953125" style="235" customWidth="1"/>
    <col min="4" max="4" width="10.54296875" style="235" customWidth="1"/>
    <col min="5" max="5" width="12.54296875" style="235" customWidth="1"/>
    <col min="6" max="6" width="12.453125" style="235" bestFit="1" customWidth="1"/>
    <col min="7" max="7" width="13.453125" style="235" customWidth="1"/>
    <col min="8" max="8" width="14" style="235" customWidth="1"/>
    <col min="9" max="10" width="16" style="235" bestFit="1" customWidth="1"/>
    <col min="11" max="11" width="11.81640625" style="235" customWidth="1"/>
    <col min="12" max="12" width="10.54296875" style="235" customWidth="1"/>
    <col min="13" max="13" width="23.453125" style="235" customWidth="1"/>
    <col min="14" max="16" width="12.7265625" style="235" customWidth="1"/>
    <col min="17" max="17" width="17.1796875" style="235" customWidth="1"/>
    <col min="18" max="18" width="19.81640625" style="235" customWidth="1"/>
    <col min="19" max="24" width="12.7265625" style="235" customWidth="1"/>
    <col min="25" max="16384" width="9.1796875" style="235"/>
  </cols>
  <sheetData>
    <row r="1" spans="1:24">
      <c r="A1" s="227"/>
      <c r="B1" s="227"/>
      <c r="C1" s="251"/>
      <c r="D1" s="251"/>
      <c r="E1" s="251"/>
      <c r="F1" s="251"/>
      <c r="G1" s="251"/>
      <c r="H1" s="251"/>
      <c r="I1" s="251"/>
      <c r="J1" s="251"/>
      <c r="K1" s="276"/>
      <c r="L1" s="227"/>
      <c r="M1" s="227"/>
      <c r="N1" s="227"/>
    </row>
    <row r="2" spans="1:24">
      <c r="A2" s="544" t="s">
        <v>1354</v>
      </c>
      <c r="B2" s="544"/>
      <c r="C2" s="544"/>
      <c r="D2" s="544"/>
      <c r="E2" s="544"/>
      <c r="F2" s="544"/>
      <c r="G2" s="544"/>
      <c r="H2" s="544"/>
      <c r="I2" s="544"/>
      <c r="J2" s="544"/>
      <c r="K2" s="544"/>
      <c r="L2" s="544"/>
      <c r="M2" s="544"/>
      <c r="N2" s="227"/>
    </row>
    <row r="3" spans="1:24">
      <c r="A3" s="229"/>
      <c r="B3" s="229"/>
      <c r="C3" s="229"/>
      <c r="D3" s="229"/>
      <c r="E3" s="229"/>
      <c r="F3" s="229"/>
      <c r="G3" s="229"/>
      <c r="H3" s="229"/>
      <c r="I3" s="229"/>
      <c r="J3" s="229"/>
      <c r="K3" s="229"/>
      <c r="L3" s="229"/>
      <c r="M3" s="229"/>
      <c r="N3" s="227"/>
    </row>
    <row r="4" spans="1:24" ht="13" thickBot="1">
      <c r="A4" s="379"/>
      <c r="B4" s="379"/>
      <c r="C4" s="380" t="s">
        <v>0</v>
      </c>
      <c r="D4" s="380" t="s">
        <v>1</v>
      </c>
      <c r="E4" s="380" t="s">
        <v>2</v>
      </c>
      <c r="F4" s="380" t="s">
        <v>3</v>
      </c>
      <c r="G4" s="380" t="s">
        <v>4</v>
      </c>
      <c r="H4" s="380" t="s">
        <v>5</v>
      </c>
      <c r="I4" s="380" t="s">
        <v>215</v>
      </c>
      <c r="J4" s="380" t="s">
        <v>216</v>
      </c>
      <c r="K4" s="380" t="s">
        <v>217</v>
      </c>
      <c r="L4" s="227"/>
      <c r="M4" s="227"/>
      <c r="N4" s="227"/>
    </row>
    <row r="5" spans="1:24" ht="51.75" customHeight="1">
      <c r="A5" s="381" t="s">
        <v>6</v>
      </c>
      <c r="B5" s="382" t="s">
        <v>1355</v>
      </c>
      <c r="C5" s="383" t="s">
        <v>1356</v>
      </c>
      <c r="D5" s="383" t="s">
        <v>1357</v>
      </c>
      <c r="E5" s="383" t="s">
        <v>1358</v>
      </c>
      <c r="F5" s="383" t="s">
        <v>1359</v>
      </c>
      <c r="G5" s="383" t="s">
        <v>1360</v>
      </c>
      <c r="H5" s="383" t="s">
        <v>1361</v>
      </c>
      <c r="I5" s="383" t="s">
        <v>1362</v>
      </c>
      <c r="J5" s="383" t="s">
        <v>1363</v>
      </c>
      <c r="K5" s="383" t="s">
        <v>1364</v>
      </c>
      <c r="L5" s="227"/>
      <c r="M5" s="281"/>
      <c r="N5" s="281"/>
      <c r="O5" s="282"/>
      <c r="P5" s="282"/>
      <c r="Q5" s="282"/>
      <c r="R5" s="282"/>
      <c r="S5" s="282"/>
      <c r="T5" s="282"/>
      <c r="U5" s="282"/>
      <c r="V5" s="282"/>
      <c r="W5" s="282"/>
      <c r="X5" s="282"/>
    </row>
    <row r="6" spans="1:24">
      <c r="A6" s="384"/>
      <c r="B6" s="384"/>
      <c r="C6" s="384"/>
      <c r="D6" s="384"/>
      <c r="E6" s="384"/>
      <c r="F6" s="384"/>
      <c r="G6" s="384"/>
      <c r="H6" s="384"/>
      <c r="I6" s="384"/>
      <c r="J6" s="384"/>
      <c r="K6" s="384"/>
      <c r="L6" s="227"/>
      <c r="N6" s="227"/>
    </row>
    <row r="7" spans="1:24">
      <c r="A7" s="379" t="s">
        <v>1365</v>
      </c>
      <c r="B7" s="385">
        <v>43369</v>
      </c>
      <c r="C7" s="386">
        <v>69633.027000000002</v>
      </c>
      <c r="D7" s="387">
        <v>27.25</v>
      </c>
      <c r="E7" s="388">
        <v>0.75</v>
      </c>
      <c r="F7" s="389">
        <v>1000</v>
      </c>
      <c r="G7" s="390">
        <f>J7/C7</f>
        <v>26.485638998574625</v>
      </c>
      <c r="H7" s="391">
        <f>E7*C7+F7</f>
        <v>53224.770250000001</v>
      </c>
      <c r="I7" s="391">
        <f>C7*D7</f>
        <v>1897499.98575</v>
      </c>
      <c r="J7" s="391">
        <f>I7-H7</f>
        <v>1844275.2154999999</v>
      </c>
      <c r="K7" s="392">
        <f>H7/I7</f>
        <v>2.8049945006435689E-2</v>
      </c>
      <c r="L7" s="283"/>
      <c r="M7" s="284"/>
      <c r="N7" s="227"/>
    </row>
    <row r="8" spans="1:24">
      <c r="A8" s="379" t="s">
        <v>1365</v>
      </c>
      <c r="B8" s="385">
        <v>40338</v>
      </c>
      <c r="C8" s="386">
        <v>25300</v>
      </c>
      <c r="D8" s="387">
        <v>12.9</v>
      </c>
      <c r="E8" s="388">
        <v>0.45150000000000001</v>
      </c>
      <c r="F8" s="389">
        <v>390</v>
      </c>
      <c r="G8" s="390">
        <f>J8/C8</f>
        <v>12.433084980237153</v>
      </c>
      <c r="H8" s="391">
        <f>E8*C8+F8</f>
        <v>11812.95</v>
      </c>
      <c r="I8" s="391">
        <f>C8*D8</f>
        <v>326370</v>
      </c>
      <c r="J8" s="391">
        <f>I8-H8</f>
        <v>314557.05</v>
      </c>
      <c r="K8" s="392">
        <f>H8/I8</f>
        <v>3.6194962772313634E-2</v>
      </c>
      <c r="L8" s="283"/>
      <c r="M8" s="284"/>
      <c r="N8" s="227"/>
    </row>
    <row r="9" spans="1:24">
      <c r="A9" s="393"/>
      <c r="B9" s="394"/>
      <c r="C9" s="386"/>
      <c r="D9" s="395"/>
      <c r="E9" s="396"/>
      <c r="F9" s="397"/>
      <c r="G9" s="390"/>
      <c r="H9" s="398"/>
      <c r="I9" s="398"/>
      <c r="J9" s="398"/>
      <c r="K9" s="399"/>
      <c r="L9" s="227"/>
      <c r="M9" s="227"/>
      <c r="N9" s="285"/>
    </row>
    <row r="10" spans="1:24" ht="13" thickBot="1">
      <c r="A10" s="400" t="s">
        <v>129</v>
      </c>
      <c r="B10" s="400"/>
      <c r="C10" s="400"/>
      <c r="D10" s="400"/>
      <c r="E10" s="400"/>
      <c r="F10" s="401"/>
      <c r="G10" s="401"/>
      <c r="H10" s="402">
        <f>SUM(H7:H8)</f>
        <v>65037.720249999998</v>
      </c>
      <c r="I10" s="402">
        <f>SUM(I7:I8)</f>
        <v>2223869.98575</v>
      </c>
      <c r="J10" s="402">
        <f>SUM(J7:J8)</f>
        <v>2158832.2654999997</v>
      </c>
      <c r="K10" s="403"/>
      <c r="L10" s="227"/>
      <c r="M10" s="227"/>
      <c r="N10" s="227"/>
    </row>
    <row r="11" spans="1:24" ht="13" thickBot="1">
      <c r="A11" s="379"/>
      <c r="B11" s="379"/>
      <c r="C11" s="379"/>
      <c r="D11" s="379"/>
      <c r="E11" s="379"/>
      <c r="F11" s="404"/>
      <c r="G11" s="404"/>
      <c r="H11" s="403" t="s">
        <v>1366</v>
      </c>
      <c r="I11" s="403"/>
      <c r="J11" s="403"/>
      <c r="K11" s="403">
        <f>H10/I10</f>
        <v>2.9245288918302494E-2</v>
      </c>
      <c r="L11" s="227" t="s">
        <v>218</v>
      </c>
      <c r="M11" s="227"/>
      <c r="N11" s="227"/>
    </row>
    <row r="12" spans="1:24">
      <c r="A12" s="405" t="s">
        <v>15</v>
      </c>
      <c r="B12" s="379"/>
      <c r="C12" s="379"/>
      <c r="D12" s="379"/>
      <c r="E12" s="379"/>
      <c r="F12" s="404"/>
      <c r="G12" s="404"/>
      <c r="H12" s="288"/>
      <c r="I12" s="288"/>
      <c r="J12" s="288"/>
      <c r="K12" s="288"/>
      <c r="L12" s="227"/>
      <c r="M12" s="227"/>
      <c r="N12" s="227"/>
    </row>
    <row r="13" spans="1:24">
      <c r="A13" s="406" t="s">
        <v>1367</v>
      </c>
      <c r="B13" s="379"/>
      <c r="C13" s="379"/>
      <c r="D13" s="379"/>
      <c r="E13" s="379"/>
      <c r="F13" s="379"/>
      <c r="G13" s="379"/>
      <c r="H13" s="379"/>
      <c r="I13" s="379"/>
      <c r="J13" s="379"/>
      <c r="K13" s="379"/>
      <c r="L13" s="227"/>
      <c r="M13" s="227"/>
      <c r="N13" s="227"/>
      <c r="Q13" s="290"/>
    </row>
    <row r="14" spans="1:24">
      <c r="A14" s="289" t="s">
        <v>1368</v>
      </c>
      <c r="B14" s="227"/>
      <c r="C14" s="227"/>
      <c r="D14" s="227"/>
      <c r="E14" s="227"/>
      <c r="F14" s="227"/>
      <c r="G14" s="227"/>
      <c r="H14" s="291"/>
      <c r="I14" s="291"/>
      <c r="J14" s="291"/>
      <c r="K14" s="227"/>
      <c r="L14" s="227"/>
      <c r="M14" s="227"/>
      <c r="N14" s="227"/>
      <c r="Q14" s="267"/>
    </row>
    <row r="15" spans="1:24">
      <c r="A15" s="292"/>
      <c r="B15" s="227"/>
      <c r="C15" s="227"/>
      <c r="D15" s="227"/>
      <c r="E15" s="227"/>
      <c r="F15" s="227"/>
      <c r="G15" s="227"/>
      <c r="H15" s="227"/>
      <c r="I15" s="227"/>
      <c r="J15" s="227"/>
      <c r="K15" s="227"/>
      <c r="L15" s="227"/>
      <c r="M15" s="227"/>
      <c r="N15" s="227"/>
      <c r="Q15" s="293"/>
    </row>
    <row r="16" spans="1:24">
      <c r="A16" s="227" t="str">
        <f>"The flotation cost adjustment is derived by dividing the dividend yield by 1 − F (where F = flotation costs expressed in percentage terms), or by "&amp;TEXT(1-K11,"0.0000")&amp;", and adding that result to the constant growth rate"</f>
        <v>The flotation cost adjustment is derived by dividing the dividend yield by 1 − F (where F = flotation costs expressed in percentage terms), or by 0.9708, and adding that result to the constant growth rate</v>
      </c>
      <c r="B16" s="227"/>
      <c r="C16" s="227"/>
      <c r="D16" s="227"/>
      <c r="E16" s="227"/>
      <c r="F16" s="227"/>
      <c r="G16" s="227"/>
      <c r="H16" s="227"/>
      <c r="I16" s="227"/>
      <c r="J16" s="227"/>
      <c r="K16" s="227"/>
      <c r="L16" s="276"/>
      <c r="M16" s="227"/>
      <c r="N16" s="227"/>
    </row>
    <row r="17" spans="1:26">
      <c r="A17" s="227" t="s">
        <v>1369</v>
      </c>
      <c r="B17" s="227"/>
      <c r="C17" s="227"/>
      <c r="D17" s="227"/>
      <c r="E17" s="227"/>
      <c r="F17" s="227"/>
      <c r="G17" s="227"/>
      <c r="H17" s="227"/>
      <c r="I17" s="227"/>
      <c r="J17" s="227"/>
      <c r="K17" s="227"/>
      <c r="L17" s="227"/>
      <c r="M17" s="227"/>
      <c r="N17" s="227"/>
    </row>
    <row r="18" spans="1:26">
      <c r="A18" s="227"/>
      <c r="B18" s="227"/>
      <c r="C18" s="227"/>
      <c r="D18" s="227"/>
      <c r="E18" s="227"/>
      <c r="F18" s="227"/>
      <c r="G18" s="227"/>
      <c r="H18" s="227"/>
      <c r="I18" s="227"/>
      <c r="J18" s="227"/>
      <c r="K18" s="227"/>
      <c r="L18" s="227"/>
      <c r="M18" s="227"/>
      <c r="N18" s="227"/>
    </row>
    <row r="19" spans="1:26">
      <c r="A19" s="227"/>
      <c r="B19" s="227"/>
      <c r="C19" s="227"/>
      <c r="D19" s="227"/>
      <c r="E19" s="227"/>
      <c r="F19" s="227"/>
      <c r="G19" s="227"/>
      <c r="H19" s="227"/>
      <c r="I19" s="227"/>
      <c r="J19" s="227"/>
      <c r="K19" s="227"/>
      <c r="L19" s="227"/>
      <c r="M19" s="227"/>
      <c r="N19" s="227"/>
    </row>
    <row r="20" spans="1:26">
      <c r="A20" s="227"/>
      <c r="B20" s="227"/>
      <c r="C20" s="227"/>
      <c r="D20" s="227"/>
      <c r="E20" s="227"/>
      <c r="F20" s="227"/>
      <c r="G20" s="227"/>
      <c r="H20" s="227"/>
      <c r="I20" s="227"/>
      <c r="J20" s="227"/>
      <c r="K20" s="227"/>
      <c r="L20" s="227"/>
      <c r="M20" s="227"/>
      <c r="N20" s="227"/>
    </row>
    <row r="21" spans="1:26">
      <c r="A21" s="227"/>
      <c r="B21" s="227"/>
      <c r="C21" s="227"/>
      <c r="D21" s="227"/>
      <c r="E21" s="227"/>
      <c r="F21" s="227"/>
      <c r="G21" s="227"/>
      <c r="H21" s="227"/>
      <c r="I21" s="227"/>
      <c r="J21" s="227"/>
      <c r="K21" s="227"/>
      <c r="L21" s="227"/>
      <c r="M21" s="227"/>
      <c r="N21" s="227"/>
    </row>
    <row r="22" spans="1:26">
      <c r="A22" s="227"/>
      <c r="B22" s="227"/>
      <c r="C22" s="227"/>
      <c r="D22" s="227"/>
      <c r="E22" s="227"/>
      <c r="F22" s="227"/>
      <c r="G22" s="227"/>
      <c r="H22" s="227"/>
      <c r="I22" s="227"/>
      <c r="J22" s="227"/>
      <c r="K22" s="227"/>
      <c r="L22" s="227"/>
      <c r="M22" s="227"/>
      <c r="N22" s="227"/>
    </row>
    <row r="23" spans="1:26" ht="13" thickBot="1">
      <c r="A23" s="227"/>
      <c r="B23" s="227"/>
      <c r="C23" s="229" t="s">
        <v>219</v>
      </c>
      <c r="D23" s="229" t="s">
        <v>1249</v>
      </c>
      <c r="E23" s="229" t="s">
        <v>1370</v>
      </c>
      <c r="F23" s="229" t="s">
        <v>1371</v>
      </c>
      <c r="G23" s="229" t="s">
        <v>1372</v>
      </c>
      <c r="H23" s="229" t="s">
        <v>1373</v>
      </c>
      <c r="I23" s="229" t="s">
        <v>1374</v>
      </c>
      <c r="J23" s="229" t="s">
        <v>1375</v>
      </c>
      <c r="K23" s="229" t="s">
        <v>1376</v>
      </c>
      <c r="L23" s="229" t="s">
        <v>1377</v>
      </c>
      <c r="M23" s="229" t="s">
        <v>1378</v>
      </c>
      <c r="N23" s="227"/>
    </row>
    <row r="24" spans="1:26" ht="50">
      <c r="A24" s="278" t="s">
        <v>6</v>
      </c>
      <c r="B24" s="279" t="s">
        <v>7</v>
      </c>
      <c r="C24" s="280" t="s">
        <v>30</v>
      </c>
      <c r="D24" s="280" t="s">
        <v>1379</v>
      </c>
      <c r="E24" s="280" t="s">
        <v>32</v>
      </c>
      <c r="F24" s="280" t="s">
        <v>33</v>
      </c>
      <c r="G24" s="280" t="s">
        <v>1380</v>
      </c>
      <c r="H24" s="280" t="s">
        <v>1381</v>
      </c>
      <c r="I24" s="280" t="s">
        <v>1382</v>
      </c>
      <c r="J24" s="280" t="s">
        <v>1383</v>
      </c>
      <c r="K24" s="280" t="s">
        <v>1384</v>
      </c>
      <c r="L24" s="280" t="s">
        <v>148</v>
      </c>
      <c r="M24" s="280" t="s">
        <v>1385</v>
      </c>
      <c r="N24" s="227"/>
    </row>
    <row r="25" spans="1:26">
      <c r="A25" s="227"/>
      <c r="B25" s="227"/>
      <c r="C25" s="227"/>
      <c r="D25" s="227"/>
      <c r="E25" s="227"/>
      <c r="F25" s="227"/>
      <c r="G25" s="227"/>
      <c r="H25" s="227"/>
      <c r="I25" s="227"/>
      <c r="J25" s="227"/>
      <c r="K25" s="227"/>
      <c r="L25" s="227"/>
      <c r="M25" s="227"/>
      <c r="N25" s="227"/>
    </row>
    <row r="26" spans="1:26">
      <c r="A26" s="227" t="s">
        <v>1177</v>
      </c>
      <c r="B26" s="277" t="s">
        <v>457</v>
      </c>
      <c r="C26" s="237">
        <f>'AEB-4 CGDCF'!C7</f>
        <v>3.22</v>
      </c>
      <c r="D26" s="237">
        <f>'AEB-4 CGDCF'!D7</f>
        <v>115.72234000000002</v>
      </c>
      <c r="E26" s="294">
        <f>C26/D26</f>
        <v>2.7825223720847676E-2</v>
      </c>
      <c r="F26" s="294">
        <f>'AEB-4 CGDCF'!F7</f>
        <v>2.881765670022458E-2</v>
      </c>
      <c r="G26" s="295">
        <f>F26/(1-$K$11)</f>
        <v>2.9685827296283211E-2</v>
      </c>
      <c r="H26" s="262">
        <f>'AEB-4 CGDCF'!G7</f>
        <v>7.0000000000000007E-2</v>
      </c>
      <c r="I26" s="262">
        <f>'AEB-4 CGDCF'!H7</f>
        <v>7.400000000000001E-2</v>
      </c>
      <c r="J26" s="262">
        <f>'AEB-4 CGDCF'!I7</f>
        <v>7.0000000000000007E-2</v>
      </c>
      <c r="K26" s="262">
        <f>AVERAGE(H26:J26)</f>
        <v>7.1333333333333346E-2</v>
      </c>
      <c r="L26" s="295">
        <f>K26+F26</f>
        <v>0.10015099003355793</v>
      </c>
      <c r="M26" s="295">
        <f>K26+G26</f>
        <v>0.10101916062961655</v>
      </c>
      <c r="N26" s="253"/>
      <c r="O26" s="253"/>
      <c r="P26" s="296"/>
      <c r="Q26" s="296"/>
      <c r="R26" s="296"/>
      <c r="S26" s="296"/>
      <c r="T26" s="296"/>
      <c r="U26" s="296"/>
      <c r="V26" s="296"/>
      <c r="W26" s="296"/>
      <c r="X26" s="296"/>
      <c r="Y26" s="296"/>
      <c r="Z26" s="296"/>
    </row>
    <row r="27" spans="1:26">
      <c r="A27" s="227" t="s">
        <v>1178</v>
      </c>
      <c r="B27" s="277" t="s">
        <v>550</v>
      </c>
      <c r="C27" s="237">
        <f>'AEB-4 CGDCF'!C8</f>
        <v>1.06</v>
      </c>
      <c r="D27" s="237">
        <f>'AEB-4 CGDCF'!D8</f>
        <v>28.544333333333334</v>
      </c>
      <c r="E27" s="294">
        <f t="shared" ref="E27:E30" si="0">C27/D27</f>
        <v>3.7135216563707919E-2</v>
      </c>
      <c r="F27" s="294">
        <f>'AEB-4 CGDCF'!F8</f>
        <v>3.8552543995889442E-2</v>
      </c>
      <c r="G27" s="295">
        <f t="shared" ref="G27:G30" si="1">F27/(1-$K$11)</f>
        <v>3.9713991140904084E-2</v>
      </c>
      <c r="H27" s="262">
        <f>'AEB-4 CGDCF'!G8</f>
        <v>9.5000000000000001E-2</v>
      </c>
      <c r="I27" s="262">
        <f>'AEB-4 CGDCF'!H8</f>
        <v>7.400000000000001E-2</v>
      </c>
      <c r="J27" s="262">
        <f>'AEB-4 CGDCF'!I8</f>
        <v>0.06</v>
      </c>
      <c r="K27" s="262">
        <f t="shared" ref="K27:K30" si="2">AVERAGE(H27:J27)</f>
        <v>7.6333333333333336E-2</v>
      </c>
      <c r="L27" s="295">
        <f t="shared" ref="L27:L30" si="3">K27+F27</f>
        <v>0.11488587732922279</v>
      </c>
      <c r="M27" s="295">
        <f t="shared" ref="M27:M30" si="4">K27+G27</f>
        <v>0.11604732447423742</v>
      </c>
      <c r="N27" s="253"/>
      <c r="O27" s="253"/>
      <c r="P27" s="296"/>
      <c r="Q27" s="296"/>
      <c r="R27" s="296"/>
      <c r="S27" s="296"/>
      <c r="T27" s="296"/>
      <c r="U27" s="296"/>
      <c r="V27" s="296"/>
      <c r="W27" s="296"/>
      <c r="X27" s="296"/>
      <c r="Y27" s="296"/>
      <c r="Z27" s="296"/>
    </row>
    <row r="28" spans="1:26">
      <c r="A28" s="227" t="s">
        <v>1524</v>
      </c>
      <c r="B28" s="277" t="s">
        <v>1180</v>
      </c>
      <c r="C28" s="237">
        <f>'AEB-4 CGDCF'!C9</f>
        <v>1.95</v>
      </c>
      <c r="D28" s="237">
        <f>'AEB-4 CGDCF'!D9</f>
        <v>36.402333333333331</v>
      </c>
      <c r="E28" s="294">
        <f t="shared" si="0"/>
        <v>5.3567994725612827E-2</v>
      </c>
      <c r="F28" s="294">
        <f>'AEB-4 CGDCF'!F9</f>
        <v>5.4813450602983323E-2</v>
      </c>
      <c r="G28" s="295">
        <f t="shared" si="1"/>
        <v>5.6464779389950641E-2</v>
      </c>
      <c r="H28" s="262">
        <f>'AEB-4 CGDCF'!G9</f>
        <v>6.5000000000000002E-2</v>
      </c>
      <c r="I28" s="262">
        <f>'AEB-4 CGDCF'!H9</f>
        <v>2.7999999999999997E-2</v>
      </c>
      <c r="J28" s="262" t="str">
        <f>'AEB-4 CGDCF'!I9</f>
        <v>n/a</v>
      </c>
      <c r="K28" s="262">
        <f t="shared" si="2"/>
        <v>4.65E-2</v>
      </c>
      <c r="L28" s="295">
        <f t="shared" si="3"/>
        <v>0.10131345060298333</v>
      </c>
      <c r="M28" s="295">
        <f t="shared" si="4"/>
        <v>0.10296477938995063</v>
      </c>
      <c r="N28" s="253"/>
      <c r="O28" s="253"/>
      <c r="P28" s="296"/>
      <c r="Q28" s="296"/>
      <c r="R28" s="296"/>
      <c r="S28" s="296"/>
      <c r="T28" s="296"/>
      <c r="U28" s="296"/>
      <c r="V28" s="296"/>
      <c r="W28" s="296"/>
      <c r="X28" s="296"/>
      <c r="Y28" s="296"/>
      <c r="Z28" s="296"/>
    </row>
    <row r="29" spans="1:26">
      <c r="A29" s="227" t="s">
        <v>1181</v>
      </c>
      <c r="B29" s="277" t="s">
        <v>1182</v>
      </c>
      <c r="C29" s="237">
        <f>'AEB-4 CGDCF'!C10</f>
        <v>2.64</v>
      </c>
      <c r="D29" s="237">
        <f>'AEB-4 CGDCF'!D10</f>
        <v>61.414333333333317</v>
      </c>
      <c r="E29" s="294">
        <f t="shared" si="0"/>
        <v>4.2986707771801386E-2</v>
      </c>
      <c r="F29" s="294">
        <f>'AEB-4 CGDCF'!F10</f>
        <v>4.3953908696666918E-2</v>
      </c>
      <c r="G29" s="295">
        <f t="shared" si="1"/>
        <v>4.5278079204673374E-2</v>
      </c>
      <c r="H29" s="262">
        <f>'AEB-4 CGDCF'!G10</f>
        <v>3.5000000000000003E-2</v>
      </c>
      <c r="I29" s="262">
        <f>'AEB-4 CGDCF'!H10</f>
        <v>0.05</v>
      </c>
      <c r="J29" s="262">
        <f>'AEB-4 CGDCF'!I10</f>
        <v>0.05</v>
      </c>
      <c r="K29" s="262">
        <f t="shared" si="2"/>
        <v>4.5000000000000005E-2</v>
      </c>
      <c r="L29" s="295">
        <f t="shared" si="3"/>
        <v>8.8953908696666917E-2</v>
      </c>
      <c r="M29" s="295">
        <f t="shared" si="4"/>
        <v>9.0278079204673373E-2</v>
      </c>
      <c r="N29" s="253"/>
      <c r="O29" s="253"/>
      <c r="P29" s="296"/>
      <c r="Q29" s="296"/>
      <c r="R29" s="296"/>
      <c r="S29" s="296"/>
      <c r="T29" s="296"/>
      <c r="U29" s="296"/>
      <c r="V29" s="296"/>
      <c r="W29" s="296"/>
      <c r="X29" s="296"/>
      <c r="Y29" s="296"/>
      <c r="Z29" s="296"/>
    </row>
    <row r="30" spans="1:26">
      <c r="A30" s="227" t="s">
        <v>1409</v>
      </c>
      <c r="B30" s="277" t="s">
        <v>1184</v>
      </c>
      <c r="C30" s="237">
        <f>'AEB-4 CGDCF'!C11</f>
        <v>3.02</v>
      </c>
      <c r="D30" s="237">
        <f>'AEB-4 CGDCF'!D11</f>
        <v>59.656410000000001</v>
      </c>
      <c r="E30" s="294">
        <f t="shared" si="0"/>
        <v>5.0623227244146939E-2</v>
      </c>
      <c r="F30" s="294">
        <f>'AEB-4 CGDCF'!F11</f>
        <v>5.1961367884300558E-2</v>
      </c>
      <c r="G30" s="295">
        <f t="shared" si="1"/>
        <v>5.3526773850420747E-2</v>
      </c>
      <c r="H30" s="262">
        <f>'AEB-4 CGDCF'!G11</f>
        <v>4.4999999999999998E-2</v>
      </c>
      <c r="I30" s="262">
        <f>'AEB-4 CGDCF'!H11</f>
        <v>6.3600000000000004E-2</v>
      </c>
      <c r="J30" s="262">
        <f>'AEB-4 CGDCF'!I11</f>
        <v>0.05</v>
      </c>
      <c r="K30" s="262">
        <f t="shared" si="2"/>
        <v>5.2866666666666673E-2</v>
      </c>
      <c r="L30" s="295">
        <f t="shared" si="3"/>
        <v>0.10482803455096723</v>
      </c>
      <c r="M30" s="295">
        <f t="shared" si="4"/>
        <v>0.10639344051708742</v>
      </c>
      <c r="N30" s="253"/>
      <c r="O30" s="253"/>
      <c r="P30" s="296"/>
      <c r="Q30" s="296"/>
      <c r="R30" s="296"/>
      <c r="S30" s="296"/>
      <c r="T30" s="296"/>
      <c r="U30" s="296"/>
      <c r="V30" s="296"/>
      <c r="W30" s="296"/>
      <c r="X30" s="296"/>
      <c r="Y30" s="296"/>
      <c r="Z30" s="296"/>
    </row>
    <row r="32" spans="1:26">
      <c r="A32" s="297" t="s">
        <v>41</v>
      </c>
      <c r="B32" s="264"/>
      <c r="C32" s="264"/>
      <c r="D32" s="264"/>
      <c r="E32" s="264"/>
      <c r="F32" s="264"/>
      <c r="G32" s="264"/>
      <c r="H32" s="264"/>
      <c r="I32" s="264"/>
      <c r="J32" s="264"/>
      <c r="K32" s="264"/>
      <c r="L32" s="298">
        <f>AVERAGE(L26:L30)</f>
        <v>0.10202645224267966</v>
      </c>
      <c r="M32" s="298">
        <f>AVERAGE(M26:M30)</f>
        <v>0.10334055684311308</v>
      </c>
      <c r="N32" s="227"/>
    </row>
    <row r="33" spans="1:14">
      <c r="A33" s="458" t="s">
        <v>42</v>
      </c>
      <c r="B33" s="459"/>
      <c r="C33" s="459"/>
      <c r="D33" s="459"/>
      <c r="E33" s="459"/>
      <c r="F33" s="459"/>
      <c r="G33" s="459"/>
      <c r="H33" s="459"/>
      <c r="I33" s="459"/>
      <c r="J33" s="459"/>
      <c r="K33" s="459"/>
      <c r="L33" s="460">
        <f>MEDIAN(L26:L30)</f>
        <v>0.10131345060298333</v>
      </c>
      <c r="M33" s="460">
        <f>MEDIAN(M26:M30)</f>
        <v>0.10296477938995063</v>
      </c>
      <c r="N33" s="227"/>
    </row>
    <row r="34" spans="1:14">
      <c r="A34" s="458"/>
      <c r="B34" s="459"/>
      <c r="C34" s="459"/>
      <c r="D34" s="459"/>
      <c r="E34" s="459"/>
      <c r="F34" s="459"/>
      <c r="G34" s="459"/>
      <c r="H34" s="459"/>
      <c r="I34" s="459"/>
      <c r="J34" s="459"/>
      <c r="K34" s="459"/>
      <c r="L34" s="460"/>
      <c r="M34" s="460"/>
      <c r="N34" s="227"/>
    </row>
    <row r="35" spans="1:14">
      <c r="A35" s="458" t="s">
        <v>1515</v>
      </c>
      <c r="B35" s="459"/>
      <c r="C35" s="459"/>
      <c r="D35" s="459"/>
      <c r="E35" s="459"/>
      <c r="F35" s="459"/>
      <c r="G35" s="459"/>
      <c r="H35" s="459"/>
      <c r="I35" s="459"/>
      <c r="J35" s="459"/>
      <c r="K35" s="459"/>
      <c r="L35" s="460"/>
      <c r="M35" s="460">
        <f>M32-L32</f>
        <v>1.3141046004334217E-3</v>
      </c>
      <c r="N35" s="227"/>
    </row>
    <row r="36" spans="1:14">
      <c r="A36" s="458" t="s">
        <v>1516</v>
      </c>
      <c r="B36" s="459"/>
      <c r="C36" s="459"/>
      <c r="D36" s="459"/>
      <c r="E36" s="459"/>
      <c r="F36" s="459"/>
      <c r="G36" s="459"/>
      <c r="H36" s="459"/>
      <c r="I36" s="459"/>
      <c r="J36" s="459"/>
      <c r="K36" s="459"/>
      <c r="L36" s="460"/>
      <c r="M36" s="460">
        <f>M33-L33</f>
        <v>1.6513287869673043E-3</v>
      </c>
      <c r="N36" s="227"/>
    </row>
    <row r="37" spans="1:14" ht="13" thickBot="1">
      <c r="A37" s="299"/>
      <c r="B37" s="269"/>
      <c r="C37" s="269"/>
      <c r="D37" s="269"/>
      <c r="E37" s="269"/>
      <c r="F37" s="269"/>
      <c r="G37" s="269"/>
      <c r="H37" s="269"/>
      <c r="I37" s="269"/>
      <c r="J37" s="269"/>
      <c r="K37" s="269"/>
      <c r="L37" s="300"/>
      <c r="M37" s="301"/>
      <c r="N37" s="227"/>
    </row>
    <row r="38" spans="1:14">
      <c r="A38" s="227"/>
      <c r="B38" s="227"/>
      <c r="C38" s="227"/>
      <c r="D38" s="227"/>
      <c r="E38" s="227"/>
      <c r="F38" s="227"/>
      <c r="G38" s="227"/>
      <c r="H38" s="227"/>
      <c r="I38" s="227"/>
      <c r="J38" s="227"/>
      <c r="K38" s="227"/>
      <c r="L38" s="227"/>
      <c r="M38" s="227"/>
      <c r="N38" s="227"/>
    </row>
    <row r="39" spans="1:14">
      <c r="A39" s="287" t="s">
        <v>15</v>
      </c>
      <c r="B39" s="227"/>
      <c r="C39" s="227"/>
      <c r="D39" s="227"/>
      <c r="E39" s="227"/>
      <c r="F39" s="286"/>
      <c r="G39" s="286"/>
      <c r="H39" s="302"/>
      <c r="I39" s="227"/>
      <c r="J39" s="227"/>
      <c r="K39" s="227"/>
      <c r="L39" s="227"/>
      <c r="M39" s="227"/>
      <c r="N39" s="227"/>
    </row>
    <row r="40" spans="1:14">
      <c r="A40" s="227" t="s">
        <v>1514</v>
      </c>
      <c r="B40" s="227"/>
      <c r="C40" s="227"/>
      <c r="D40" s="227"/>
      <c r="E40" s="227"/>
      <c r="F40" s="227"/>
      <c r="G40" s="227"/>
      <c r="H40" s="227"/>
      <c r="I40" s="227"/>
      <c r="J40" s="227"/>
      <c r="K40" s="227"/>
      <c r="L40" s="227"/>
      <c r="M40" s="227"/>
      <c r="N40" s="227"/>
    </row>
    <row r="41" spans="1:14">
      <c r="A41" s="227" t="s">
        <v>1386</v>
      </c>
      <c r="B41" s="227"/>
      <c r="C41" s="227"/>
      <c r="D41" s="227"/>
      <c r="E41" s="227"/>
      <c r="F41" s="227"/>
      <c r="G41" s="227"/>
      <c r="H41" s="227"/>
      <c r="I41" s="227"/>
      <c r="J41" s="227"/>
      <c r="K41" s="227"/>
      <c r="L41" s="227"/>
      <c r="M41" s="227"/>
      <c r="N41" s="227"/>
    </row>
    <row r="42" spans="1:14">
      <c r="A42" s="289" t="s">
        <v>1387</v>
      </c>
      <c r="B42" s="227"/>
      <c r="C42" s="227"/>
      <c r="D42" s="227"/>
      <c r="E42" s="227"/>
      <c r="F42" s="227"/>
      <c r="G42" s="227"/>
      <c r="H42" s="227"/>
      <c r="I42" s="227"/>
      <c r="J42" s="227"/>
      <c r="K42" s="227"/>
      <c r="L42" s="227"/>
      <c r="M42" s="227"/>
      <c r="N42" s="227"/>
    </row>
    <row r="43" spans="1:14">
      <c r="A43" s="289" t="s">
        <v>1388</v>
      </c>
      <c r="B43" s="227"/>
      <c r="C43" s="227"/>
      <c r="D43" s="227"/>
      <c r="E43" s="227"/>
      <c r="F43" s="227"/>
      <c r="G43" s="227"/>
      <c r="H43" s="227"/>
      <c r="I43" s="227"/>
      <c r="J43" s="227"/>
      <c r="K43" s="227"/>
      <c r="L43" s="227"/>
      <c r="M43" s="227"/>
      <c r="N43" s="227"/>
    </row>
    <row r="44" spans="1:14">
      <c r="A44" s="289" t="s">
        <v>1389</v>
      </c>
      <c r="B44" s="227"/>
      <c r="C44" s="227"/>
      <c r="D44" s="227"/>
      <c r="E44" s="227"/>
      <c r="F44" s="291"/>
      <c r="G44" s="227"/>
      <c r="H44" s="227"/>
      <c r="I44" s="227"/>
      <c r="J44" s="227"/>
      <c r="K44" s="227"/>
      <c r="L44" s="227"/>
      <c r="M44" s="227"/>
      <c r="N44" s="227"/>
    </row>
    <row r="45" spans="1:14">
      <c r="A45" s="289" t="s">
        <v>1390</v>
      </c>
      <c r="B45" s="227"/>
      <c r="C45" s="227"/>
      <c r="D45" s="227"/>
      <c r="E45" s="227"/>
      <c r="F45" s="303"/>
      <c r="G45" s="227"/>
      <c r="H45" s="227"/>
      <c r="I45" s="227"/>
      <c r="J45" s="227"/>
      <c r="K45" s="227"/>
      <c r="L45" s="227"/>
      <c r="M45" s="227"/>
      <c r="N45" s="227"/>
    </row>
    <row r="46" spans="1:14">
      <c r="A46" s="289" t="s">
        <v>1391</v>
      </c>
      <c r="B46" s="227"/>
      <c r="C46" s="227"/>
      <c r="D46" s="227"/>
      <c r="E46" s="227"/>
      <c r="F46" s="227"/>
      <c r="G46" s="227"/>
      <c r="H46" s="227"/>
      <c r="I46" s="227"/>
      <c r="J46" s="227"/>
      <c r="K46" s="227"/>
      <c r="L46" s="227"/>
      <c r="M46" s="227"/>
      <c r="N46" s="227"/>
    </row>
    <row r="47" spans="1:14">
      <c r="A47" s="227" t="s">
        <v>1392</v>
      </c>
      <c r="B47" s="227"/>
      <c r="C47" s="227"/>
      <c r="D47" s="227"/>
      <c r="E47" s="227"/>
      <c r="F47" s="227"/>
      <c r="G47" s="227"/>
      <c r="H47" s="227"/>
      <c r="I47" s="227"/>
      <c r="J47" s="227"/>
      <c r="K47" s="227"/>
      <c r="L47" s="227"/>
      <c r="M47" s="227"/>
      <c r="N47" s="227"/>
    </row>
    <row r="48" spans="1:14">
      <c r="A48" s="227" t="s">
        <v>1429</v>
      </c>
      <c r="B48" s="227"/>
      <c r="C48" s="227"/>
      <c r="D48" s="227"/>
      <c r="E48" s="227"/>
      <c r="F48" s="227"/>
      <c r="G48" s="227"/>
      <c r="H48" s="227"/>
      <c r="I48" s="227"/>
      <c r="J48" s="227"/>
      <c r="K48" s="227"/>
      <c r="L48" s="227"/>
      <c r="M48" s="227"/>
      <c r="N48" s="227"/>
    </row>
    <row r="49" spans="1:14">
      <c r="A49" s="227" t="s">
        <v>1393</v>
      </c>
      <c r="B49" s="227"/>
      <c r="C49" s="227"/>
      <c r="D49" s="227"/>
      <c r="E49" s="227"/>
      <c r="F49" s="227"/>
      <c r="G49" s="227"/>
      <c r="H49" s="227"/>
      <c r="I49" s="227"/>
      <c r="J49" s="227"/>
      <c r="K49" s="227"/>
      <c r="L49" s="227"/>
      <c r="M49" s="227"/>
      <c r="N49" s="227"/>
    </row>
    <row r="50" spans="1:14">
      <c r="A50" s="227" t="s">
        <v>1394</v>
      </c>
      <c r="B50" s="227"/>
      <c r="C50" s="227"/>
      <c r="D50" s="227"/>
      <c r="E50" s="227"/>
      <c r="F50" s="227"/>
      <c r="G50" s="227"/>
      <c r="H50" s="227"/>
      <c r="I50" s="227"/>
      <c r="J50" s="227"/>
      <c r="K50" s="227"/>
      <c r="L50" s="227"/>
      <c r="M50" s="227"/>
      <c r="N50" s="227"/>
    </row>
    <row r="51" spans="1:14">
      <c r="A51" s="227" t="s">
        <v>1395</v>
      </c>
      <c r="B51" s="227"/>
      <c r="C51" s="227"/>
      <c r="D51" s="227"/>
      <c r="E51" s="227"/>
      <c r="F51" s="227"/>
      <c r="G51" s="227"/>
      <c r="H51" s="227"/>
      <c r="I51" s="227"/>
      <c r="J51" s="227"/>
      <c r="K51" s="227"/>
      <c r="L51" s="227"/>
      <c r="M51" s="227"/>
      <c r="N51" s="227"/>
    </row>
    <row r="52" spans="1:14">
      <c r="A52" s="227" t="s">
        <v>1396</v>
      </c>
      <c r="B52" s="227"/>
      <c r="C52" s="227"/>
      <c r="D52" s="227"/>
      <c r="E52" s="227"/>
      <c r="F52" s="227"/>
      <c r="G52" s="227"/>
      <c r="H52" s="227"/>
      <c r="I52" s="227"/>
      <c r="J52" s="227"/>
      <c r="K52" s="227"/>
      <c r="L52" s="227"/>
      <c r="M52" s="227"/>
      <c r="N52" s="227"/>
    </row>
    <row r="53" spans="1:14">
      <c r="A53" s="227" t="s">
        <v>1397</v>
      </c>
      <c r="B53" s="227"/>
      <c r="C53" s="227"/>
      <c r="D53" s="227"/>
      <c r="E53" s="227"/>
      <c r="F53" s="227"/>
      <c r="G53" s="227"/>
      <c r="H53" s="227"/>
      <c r="I53" s="227"/>
      <c r="J53" s="227"/>
      <c r="K53" s="227"/>
      <c r="L53" s="227"/>
      <c r="M53" s="227"/>
      <c r="N53" s="227"/>
    </row>
    <row r="54" spans="1:14">
      <c r="A54" s="227" t="s">
        <v>1398</v>
      </c>
      <c r="B54" s="227"/>
      <c r="C54" s="227"/>
      <c r="D54" s="227"/>
      <c r="E54" s="227"/>
      <c r="F54" s="227"/>
      <c r="G54" s="227"/>
      <c r="H54" s="227"/>
      <c r="I54" s="227"/>
      <c r="J54" s="227"/>
      <c r="K54" s="227"/>
      <c r="L54" s="227"/>
      <c r="M54" s="227"/>
      <c r="N54" s="227"/>
    </row>
    <row r="55" spans="1:14">
      <c r="A55" s="227" t="s">
        <v>1399</v>
      </c>
      <c r="B55" s="227"/>
      <c r="C55" s="227"/>
      <c r="D55" s="227"/>
      <c r="E55" s="227"/>
      <c r="F55" s="227"/>
      <c r="G55" s="227"/>
      <c r="H55" s="227"/>
      <c r="I55" s="227"/>
      <c r="J55" s="227"/>
      <c r="K55" s="227"/>
      <c r="L55" s="227"/>
      <c r="M55" s="227"/>
      <c r="N55" s="227"/>
    </row>
    <row r="56" spans="1:14">
      <c r="A56" s="227" t="s">
        <v>1400</v>
      </c>
      <c r="B56" s="227"/>
      <c r="C56" s="227"/>
      <c r="D56" s="227"/>
      <c r="E56" s="227"/>
      <c r="F56" s="227"/>
      <c r="G56" s="227"/>
      <c r="H56" s="227"/>
      <c r="I56" s="227"/>
      <c r="J56" s="227"/>
      <c r="K56" s="227"/>
      <c r="L56" s="227"/>
      <c r="M56" s="227"/>
      <c r="N56" s="227"/>
    </row>
    <row r="57" spans="1:14">
      <c r="A57" s="227" t="s">
        <v>1401</v>
      </c>
      <c r="B57" s="227"/>
      <c r="C57" s="227"/>
      <c r="D57" s="227"/>
      <c r="E57" s="227"/>
      <c r="F57" s="227"/>
      <c r="G57" s="227"/>
      <c r="H57" s="227"/>
      <c r="I57" s="227"/>
      <c r="J57" s="227"/>
      <c r="K57" s="227"/>
      <c r="L57" s="227"/>
      <c r="M57" s="227"/>
      <c r="N57" s="227"/>
    </row>
    <row r="58" spans="1:14">
      <c r="A58" s="227" t="s">
        <v>1517</v>
      </c>
      <c r="B58" s="227"/>
      <c r="C58" s="227"/>
      <c r="D58" s="227"/>
      <c r="E58" s="227"/>
      <c r="F58" s="227"/>
      <c r="G58" s="227"/>
      <c r="H58" s="227"/>
      <c r="I58" s="227"/>
      <c r="J58" s="227"/>
      <c r="K58" s="227"/>
      <c r="L58" s="227"/>
      <c r="M58" s="227"/>
      <c r="N58" s="227"/>
    </row>
    <row r="59" spans="1:14">
      <c r="A59" s="235" t="s">
        <v>1518</v>
      </c>
    </row>
  </sheetData>
  <mergeCells count="1">
    <mergeCell ref="A2:M2"/>
  </mergeCells>
  <printOptions horizontalCentered="1"/>
  <pageMargins left="0.7" right="0.7" top="1.57" bottom="0.75" header="0.3" footer="0.3"/>
  <pageSetup scale="43" orientation="landscape" useFirstPageNumber="1" r:id="rId1"/>
  <headerFooter scaleWithDoc="0">
    <oddHeader>&amp;RDocket No. U-_____ 
Exhibit AEB-13 
Page &amp;P of 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0E29E-0ECE-48D2-A61E-7A273E2D6588}">
  <sheetPr codeName="Sheet15"/>
  <dimension ref="B1:AJ53"/>
  <sheetViews>
    <sheetView zoomScaleNormal="100" workbookViewId="0">
      <selection activeCell="N44" sqref="N44"/>
    </sheetView>
  </sheetViews>
  <sheetFormatPr defaultColWidth="9.1796875" defaultRowHeight="13"/>
  <cols>
    <col min="1" max="1" width="1.7265625" style="306" customWidth="1"/>
    <col min="2" max="2" width="43" style="306" customWidth="1"/>
    <col min="3" max="4" width="10.54296875" style="305" customWidth="1"/>
    <col min="5" max="5" width="12.26953125" style="305" customWidth="1"/>
    <col min="6" max="6" width="11" style="305" customWidth="1"/>
    <col min="7" max="7" width="11" style="417" customWidth="1"/>
    <col min="8" max="8" width="2.26953125" style="306" customWidth="1"/>
    <col min="9" max="9" width="2" style="306" customWidth="1"/>
    <col min="10" max="10" width="43.1796875" style="306" customWidth="1"/>
    <col min="11" max="12" width="10.54296875" style="305" customWidth="1"/>
    <col min="13" max="13" width="11.54296875" style="305" customWidth="1"/>
    <col min="14" max="14" width="14.81640625" style="305" customWidth="1"/>
    <col min="15" max="15" width="11" style="417" customWidth="1"/>
    <col min="16" max="17" width="1.7265625" style="306" customWidth="1"/>
    <col min="18" max="18" width="43.26953125" style="306" customWidth="1"/>
    <col min="19" max="20" width="11.81640625" style="305" customWidth="1"/>
    <col min="21" max="21" width="11" style="305" customWidth="1"/>
    <col min="22" max="22" width="10" style="305" customWidth="1"/>
    <col min="23" max="23" width="11" style="417" customWidth="1"/>
    <col min="24" max="25" width="1.7265625" style="306" customWidth="1"/>
    <col min="26" max="26" width="43.26953125" style="306" customWidth="1"/>
    <col min="27" max="28" width="11.81640625" style="305" customWidth="1"/>
    <col min="29" max="29" width="11" style="305" customWidth="1"/>
    <col min="30" max="30" width="10" style="305" customWidth="1"/>
    <col min="31" max="31" width="11" style="417" customWidth="1"/>
    <col min="32" max="33" width="2.7265625" style="306" customWidth="1"/>
    <col min="34" max="16384" width="9.1796875" style="306"/>
  </cols>
  <sheetData>
    <row r="1" spans="2:36">
      <c r="B1" s="550" t="s">
        <v>1402</v>
      </c>
      <c r="C1" s="550"/>
      <c r="D1" s="550"/>
      <c r="E1" s="550"/>
      <c r="F1" s="550"/>
      <c r="G1" s="550"/>
      <c r="H1" s="304"/>
      <c r="I1" s="304"/>
      <c r="J1" s="550" t="s">
        <v>1402</v>
      </c>
      <c r="K1" s="550"/>
      <c r="L1" s="550"/>
      <c r="M1" s="550"/>
      <c r="N1" s="550"/>
      <c r="O1" s="550"/>
      <c r="P1" s="304"/>
      <c r="Q1" s="304"/>
      <c r="R1" s="550" t="s">
        <v>1402</v>
      </c>
      <c r="S1" s="550"/>
      <c r="T1" s="550"/>
      <c r="U1" s="550"/>
      <c r="V1" s="550"/>
      <c r="W1" s="550"/>
      <c r="X1" s="304"/>
      <c r="Y1" s="304"/>
      <c r="Z1" s="550" t="s">
        <v>1402</v>
      </c>
      <c r="AA1" s="550"/>
      <c r="AB1" s="550"/>
      <c r="AC1" s="550"/>
      <c r="AD1" s="550"/>
      <c r="AE1" s="550"/>
      <c r="AF1" s="305"/>
      <c r="AG1" s="305"/>
      <c r="AH1" s="549"/>
      <c r="AI1" s="549"/>
      <c r="AJ1" s="549"/>
    </row>
    <row r="2" spans="2:36">
      <c r="B2" s="305"/>
      <c r="H2" s="304"/>
      <c r="I2" s="304"/>
      <c r="J2" s="305"/>
      <c r="P2" s="304"/>
      <c r="Q2" s="304"/>
      <c r="R2" s="305"/>
      <c r="X2" s="304"/>
      <c r="Y2" s="304"/>
      <c r="Z2" s="305"/>
    </row>
    <row r="3" spans="2:36" ht="15" customHeight="1">
      <c r="B3" s="547" t="s">
        <v>1403</v>
      </c>
      <c r="C3" s="547"/>
      <c r="D3" s="547"/>
      <c r="E3" s="547"/>
      <c r="F3" s="547"/>
      <c r="G3" s="548"/>
      <c r="H3" s="304"/>
      <c r="I3" s="304"/>
      <c r="J3" s="547" t="s">
        <v>1404</v>
      </c>
      <c r="K3" s="547"/>
      <c r="L3" s="547"/>
      <c r="M3" s="547"/>
      <c r="N3" s="547"/>
      <c r="O3" s="548"/>
      <c r="P3" s="304"/>
      <c r="Q3" s="304"/>
      <c r="R3" s="547" t="s">
        <v>1405</v>
      </c>
      <c r="S3" s="547"/>
      <c r="T3" s="547"/>
      <c r="U3" s="547"/>
      <c r="V3" s="547"/>
      <c r="W3" s="548"/>
      <c r="X3" s="304"/>
      <c r="Y3" s="304"/>
      <c r="Z3" s="547" t="s">
        <v>1406</v>
      </c>
      <c r="AA3" s="547"/>
      <c r="AB3" s="547"/>
      <c r="AC3" s="547"/>
      <c r="AD3" s="547"/>
      <c r="AE3" s="548"/>
    </row>
    <row r="4" spans="2:36">
      <c r="B4" s="307" t="s">
        <v>1407</v>
      </c>
      <c r="C4" s="308" t="s">
        <v>7</v>
      </c>
      <c r="D4" s="308">
        <v>2023</v>
      </c>
      <c r="E4" s="309">
        <v>2022</v>
      </c>
      <c r="F4" s="308">
        <v>2021</v>
      </c>
      <c r="G4" s="461" t="s">
        <v>1521</v>
      </c>
      <c r="H4" s="304"/>
      <c r="I4" s="304"/>
      <c r="J4" s="307" t="s">
        <v>1407</v>
      </c>
      <c r="K4" s="308" t="s">
        <v>7</v>
      </c>
      <c r="L4" s="308">
        <v>2023</v>
      </c>
      <c r="M4" s="309">
        <v>2022</v>
      </c>
      <c r="N4" s="308">
        <v>2021</v>
      </c>
      <c r="O4" s="461" t="s">
        <v>1521</v>
      </c>
      <c r="P4" s="304"/>
      <c r="Q4" s="304"/>
      <c r="R4" s="307" t="s">
        <v>1407</v>
      </c>
      <c r="S4" s="308" t="s">
        <v>7</v>
      </c>
      <c r="T4" s="308">
        <v>2023</v>
      </c>
      <c r="U4" s="309">
        <v>2022</v>
      </c>
      <c r="V4" s="308">
        <v>2021</v>
      </c>
      <c r="W4" s="461" t="s">
        <v>1521</v>
      </c>
      <c r="X4" s="304"/>
      <c r="Y4" s="304"/>
      <c r="Z4" s="307" t="s">
        <v>1407</v>
      </c>
      <c r="AA4" s="308" t="s">
        <v>7</v>
      </c>
      <c r="AB4" s="308">
        <v>2023</v>
      </c>
      <c r="AC4" s="309">
        <v>2022</v>
      </c>
      <c r="AD4" s="308">
        <v>2021</v>
      </c>
      <c r="AE4" s="461" t="s">
        <v>1521</v>
      </c>
      <c r="AF4" s="305"/>
      <c r="AG4" s="305"/>
    </row>
    <row r="5" spans="2:36" s="313" customFormat="1" ht="12.5">
      <c r="B5" s="310" t="s">
        <v>1177</v>
      </c>
      <c r="C5" s="311" t="s">
        <v>457</v>
      </c>
      <c r="D5" s="312">
        <v>0.60202489920293589</v>
      </c>
      <c r="E5" s="312">
        <v>0.60014182581046494</v>
      </c>
      <c r="F5" s="312">
        <v>0.59882505093752592</v>
      </c>
      <c r="G5" s="462">
        <f>AVERAGE(D5:F5)</f>
        <v>0.60033059198364225</v>
      </c>
      <c r="J5" s="314" t="str">
        <f t="shared" ref="J5:K9" si="0">B5</f>
        <v>Atmos Energy Corporation</v>
      </c>
      <c r="K5" s="311" t="str">
        <f t="shared" si="0"/>
        <v>ATO</v>
      </c>
      <c r="L5" s="312">
        <v>0.39797510079706416</v>
      </c>
      <c r="M5" s="312">
        <v>0.39985817418953506</v>
      </c>
      <c r="N5" s="315">
        <v>0.40117494906247414</v>
      </c>
      <c r="O5" s="462">
        <f>AVERAGE(L5:N5)</f>
        <v>0.39966940801635781</v>
      </c>
      <c r="R5" s="314" t="str">
        <f t="shared" ref="R5:S9" si="1">J5</f>
        <v>Atmos Energy Corporation</v>
      </c>
      <c r="S5" s="311" t="str">
        <f t="shared" si="1"/>
        <v>ATO</v>
      </c>
      <c r="T5" s="312">
        <v>0</v>
      </c>
      <c r="U5" s="312">
        <v>0</v>
      </c>
      <c r="V5" s="315">
        <v>0</v>
      </c>
      <c r="W5" s="462">
        <f>AVERAGE(T5:V5)</f>
        <v>0</v>
      </c>
      <c r="Z5" s="314" t="str">
        <f t="shared" ref="Z5:AA9" si="2">R5</f>
        <v>Atmos Energy Corporation</v>
      </c>
      <c r="AA5" s="311" t="str">
        <f t="shared" si="2"/>
        <v>ATO</v>
      </c>
      <c r="AB5" s="312">
        <v>0</v>
      </c>
      <c r="AC5" s="312">
        <v>0</v>
      </c>
      <c r="AD5" s="315">
        <v>0</v>
      </c>
      <c r="AE5" s="462">
        <f>AVERAGE(AB5:AD5)</f>
        <v>0</v>
      </c>
      <c r="AF5" s="316"/>
      <c r="AG5" s="316"/>
    </row>
    <row r="6" spans="2:36" s="313" customFormat="1" ht="12.5">
      <c r="B6" s="310" t="s">
        <v>1178</v>
      </c>
      <c r="C6" s="311" t="s">
        <v>550</v>
      </c>
      <c r="D6" s="317">
        <v>0.56102719149305569</v>
      </c>
      <c r="E6" s="317">
        <v>0.54174347668113221</v>
      </c>
      <c r="F6" s="317">
        <v>0.54853300870334054</v>
      </c>
      <c r="G6" s="462">
        <f>AVERAGE(D6:F6)</f>
        <v>0.55043455895917626</v>
      </c>
      <c r="J6" s="318" t="str">
        <f t="shared" si="0"/>
        <v>NiSource Inc.</v>
      </c>
      <c r="K6" s="311" t="str">
        <f t="shared" si="0"/>
        <v>NI</v>
      </c>
      <c r="L6" s="317">
        <v>0.43785037974126967</v>
      </c>
      <c r="M6" s="317">
        <v>0.45825652331886774</v>
      </c>
      <c r="N6" s="316">
        <v>0.45146699129665935</v>
      </c>
      <c r="O6" s="462">
        <f>AVERAGE(L6:N6)</f>
        <v>0.44919129811893227</v>
      </c>
      <c r="R6" s="318" t="str">
        <f t="shared" si="1"/>
        <v>NiSource Inc.</v>
      </c>
      <c r="S6" s="311" t="str">
        <f t="shared" si="1"/>
        <v>NI</v>
      </c>
      <c r="T6" s="317">
        <v>0</v>
      </c>
      <c r="U6" s="317">
        <v>0</v>
      </c>
      <c r="V6" s="316">
        <v>0</v>
      </c>
      <c r="W6" s="462">
        <f>AVERAGE(T6:V6)</f>
        <v>0</v>
      </c>
      <c r="Z6" s="318" t="str">
        <f t="shared" si="2"/>
        <v>NiSource Inc.</v>
      </c>
      <c r="AA6" s="311" t="str">
        <f t="shared" si="2"/>
        <v>NI</v>
      </c>
      <c r="AB6" s="317">
        <v>1.1224287656745407E-3</v>
      </c>
      <c r="AC6" s="317">
        <v>0</v>
      </c>
      <c r="AD6" s="316">
        <v>0</v>
      </c>
      <c r="AE6" s="462">
        <f>AVERAGE(AB6:AD6)</f>
        <v>3.7414292189151354E-4</v>
      </c>
      <c r="AF6" s="316"/>
      <c r="AG6" s="316"/>
    </row>
    <row r="7" spans="2:36" s="313" customFormat="1" ht="12.5">
      <c r="B7" s="310" t="s">
        <v>1179</v>
      </c>
      <c r="C7" s="311" t="s">
        <v>1180</v>
      </c>
      <c r="D7" s="317">
        <v>0.46962122783128357</v>
      </c>
      <c r="E7" s="317">
        <v>0.47717593158995347</v>
      </c>
      <c r="F7" s="317">
        <v>0.44079332606448823</v>
      </c>
      <c r="G7" s="462">
        <f>AVERAGE(D7:F7)</f>
        <v>0.46253016182857509</v>
      </c>
      <c r="J7" s="314" t="str">
        <f t="shared" si="0"/>
        <v>Northwest Natural Gas Company</v>
      </c>
      <c r="K7" s="311" t="str">
        <f t="shared" si="0"/>
        <v>NWN</v>
      </c>
      <c r="L7" s="317">
        <v>0.52398302853770629</v>
      </c>
      <c r="M7" s="317">
        <v>0.45463136671383231</v>
      </c>
      <c r="N7" s="316">
        <v>0.44851062616001736</v>
      </c>
      <c r="O7" s="462">
        <f>AVERAGE(L7:N7)</f>
        <v>0.47570834047051863</v>
      </c>
      <c r="R7" s="314" t="str">
        <f t="shared" si="1"/>
        <v>Northwest Natural Gas Company</v>
      </c>
      <c r="S7" s="311" t="str">
        <f t="shared" si="1"/>
        <v>NWN</v>
      </c>
      <c r="T7" s="317">
        <v>0</v>
      </c>
      <c r="U7" s="317">
        <v>0</v>
      </c>
      <c r="V7" s="316">
        <v>0</v>
      </c>
      <c r="W7" s="462">
        <f>AVERAGE(T7:V7)</f>
        <v>0</v>
      </c>
      <c r="Z7" s="314" t="str">
        <f t="shared" si="2"/>
        <v>Northwest Natural Gas Company</v>
      </c>
      <c r="AA7" s="311" t="str">
        <f t="shared" si="2"/>
        <v>NWN</v>
      </c>
      <c r="AB7" s="317">
        <v>6.3957436310100148E-3</v>
      </c>
      <c r="AC7" s="317">
        <v>6.8192701696214206E-2</v>
      </c>
      <c r="AD7" s="316">
        <v>0.11069604777549438</v>
      </c>
      <c r="AE7" s="462">
        <f>AVERAGE(AB7:AD7)</f>
        <v>6.17614977009062E-2</v>
      </c>
      <c r="AF7" s="316"/>
      <c r="AG7" s="316"/>
    </row>
    <row r="8" spans="2:36" s="313" customFormat="1" ht="12.5">
      <c r="B8" s="310" t="s">
        <v>1408</v>
      </c>
      <c r="C8" s="311" t="s">
        <v>1182</v>
      </c>
      <c r="D8" s="317">
        <v>0.60413168777188553</v>
      </c>
      <c r="E8" s="317">
        <v>0.58243804147325273</v>
      </c>
      <c r="F8" s="317">
        <v>0.61093191623433096</v>
      </c>
      <c r="G8" s="462">
        <f>AVERAGE(D8:F8)</f>
        <v>0.59916721515982307</v>
      </c>
      <c r="J8" s="314" t="str">
        <f t="shared" si="0"/>
        <v>One Gas Inc.</v>
      </c>
      <c r="K8" s="311" t="str">
        <f t="shared" si="0"/>
        <v>OGS</v>
      </c>
      <c r="L8" s="319">
        <v>0.25059207686765389</v>
      </c>
      <c r="M8" s="319">
        <v>0.41755950175470768</v>
      </c>
      <c r="N8" s="316">
        <v>0.38906552748211543</v>
      </c>
      <c r="O8" s="462">
        <f>AVERAGE(L8:N8)</f>
        <v>0.35240570203482563</v>
      </c>
      <c r="R8" s="314" t="str">
        <f t="shared" si="1"/>
        <v>One Gas Inc.</v>
      </c>
      <c r="S8" s="311" t="str">
        <f t="shared" si="1"/>
        <v>OGS</v>
      </c>
      <c r="T8" s="319">
        <v>0</v>
      </c>
      <c r="U8" s="319">
        <v>0</v>
      </c>
      <c r="V8" s="316">
        <v>0</v>
      </c>
      <c r="W8" s="462">
        <f>AVERAGE(T8:V8)</f>
        <v>0</v>
      </c>
      <c r="Z8" s="314" t="str">
        <f t="shared" si="2"/>
        <v>One Gas Inc.</v>
      </c>
      <c r="AA8" s="311" t="str">
        <f t="shared" si="2"/>
        <v>OGS</v>
      </c>
      <c r="AB8" s="319">
        <v>0.14527623536046069</v>
      </c>
      <c r="AC8" s="319">
        <v>2.4567720394460347E-6</v>
      </c>
      <c r="AD8" s="316">
        <v>2.5562835538003817E-6</v>
      </c>
      <c r="AE8" s="462">
        <f>AVERAGE(AB8:AD8)</f>
        <v>4.8427082805351317E-2</v>
      </c>
      <c r="AF8" s="316"/>
      <c r="AG8" s="316"/>
    </row>
    <row r="9" spans="2:36" s="313" customFormat="1" ht="12.5">
      <c r="B9" s="310" t="s">
        <v>1409</v>
      </c>
      <c r="C9" s="311" t="s">
        <v>1184</v>
      </c>
      <c r="D9" s="317">
        <v>0.46336184642288014</v>
      </c>
      <c r="E9" s="317">
        <v>0.47223314654792237</v>
      </c>
      <c r="F9" s="317">
        <v>0.48616661248302295</v>
      </c>
      <c r="G9" s="462">
        <f>AVERAGE(D9:F9)</f>
        <v>0.47392053515127514</v>
      </c>
      <c r="J9" s="318" t="str">
        <f t="shared" si="0"/>
        <v>Spire Inc.</v>
      </c>
      <c r="K9" s="311" t="str">
        <f t="shared" si="0"/>
        <v>SR</v>
      </c>
      <c r="L9" s="319">
        <v>0.42555831983745551</v>
      </c>
      <c r="M9" s="319">
        <v>0.39453349525581927</v>
      </c>
      <c r="N9" s="316">
        <v>0.40000285027065274</v>
      </c>
      <c r="O9" s="462">
        <f>AVERAGE(L9:N9)</f>
        <v>0.40669822178797582</v>
      </c>
      <c r="R9" s="318" t="str">
        <f t="shared" si="1"/>
        <v>Spire Inc.</v>
      </c>
      <c r="S9" s="311" t="str">
        <f t="shared" si="1"/>
        <v>SR</v>
      </c>
      <c r="T9" s="319">
        <v>0</v>
      </c>
      <c r="U9" s="319">
        <v>0</v>
      </c>
      <c r="V9" s="316">
        <v>0</v>
      </c>
      <c r="W9" s="462">
        <f>AVERAGE(T9:V9)</f>
        <v>0</v>
      </c>
      <c r="Z9" s="318" t="str">
        <f t="shared" si="2"/>
        <v>Spire Inc.</v>
      </c>
      <c r="AA9" s="311" t="str">
        <f t="shared" si="2"/>
        <v>SR</v>
      </c>
      <c r="AB9" s="319">
        <v>0.11107983373966439</v>
      </c>
      <c r="AC9" s="319">
        <v>0.13323335819625842</v>
      </c>
      <c r="AD9" s="316">
        <v>0.11383053724632421</v>
      </c>
      <c r="AE9" s="462">
        <f>AVERAGE(AB9:AD9)</f>
        <v>0.119381243060749</v>
      </c>
      <c r="AF9" s="316"/>
      <c r="AG9" s="316"/>
    </row>
    <row r="10" spans="2:36" s="313" customFormat="1" ht="12.5">
      <c r="B10" s="321"/>
      <c r="C10" s="322"/>
      <c r="D10" s="322"/>
      <c r="E10" s="322"/>
      <c r="F10" s="322"/>
      <c r="G10" s="462"/>
      <c r="J10" s="321"/>
      <c r="K10" s="322"/>
      <c r="L10" s="322"/>
      <c r="M10" s="322"/>
      <c r="N10" s="322"/>
      <c r="O10" s="462"/>
      <c r="R10" s="321"/>
      <c r="S10" s="322"/>
      <c r="T10" s="322"/>
      <c r="U10" s="322"/>
      <c r="V10" s="322"/>
      <c r="W10" s="462"/>
      <c r="Z10" s="321"/>
      <c r="AA10" s="322"/>
      <c r="AB10" s="322"/>
      <c r="AC10" s="322"/>
      <c r="AD10" s="322"/>
      <c r="AE10" s="462"/>
      <c r="AF10" s="322"/>
      <c r="AG10" s="322"/>
    </row>
    <row r="11" spans="2:36" s="313" customFormat="1" ht="12.5">
      <c r="B11" s="321" t="s">
        <v>1410</v>
      </c>
      <c r="C11" s="322"/>
      <c r="D11" s="322"/>
      <c r="E11" s="322"/>
      <c r="F11" s="322"/>
      <c r="G11" s="322"/>
      <c r="J11" s="321" t="s">
        <v>1410</v>
      </c>
      <c r="K11" s="322"/>
      <c r="L11" s="322"/>
      <c r="M11" s="322"/>
      <c r="N11" s="322"/>
      <c r="O11" s="322"/>
      <c r="R11" s="321" t="s">
        <v>1410</v>
      </c>
      <c r="S11" s="322"/>
      <c r="T11" s="322"/>
      <c r="U11" s="322"/>
      <c r="V11" s="322"/>
      <c r="W11" s="322"/>
      <c r="Z11" s="321" t="s">
        <v>1410</v>
      </c>
      <c r="AA11" s="322"/>
      <c r="AB11" s="322"/>
      <c r="AC11" s="322"/>
      <c r="AD11" s="322"/>
      <c r="AE11" s="322"/>
      <c r="AF11" s="322"/>
      <c r="AG11" s="322"/>
    </row>
    <row r="12" spans="2:36">
      <c r="B12" s="323" t="s">
        <v>1411</v>
      </c>
      <c r="C12" s="324"/>
      <c r="D12" s="325">
        <f>AVERAGE(D5:D9)</f>
        <v>0.54003337054440814</v>
      </c>
      <c r="E12" s="325">
        <f>AVERAGE(E5:E9)</f>
        <v>0.53474648442054518</v>
      </c>
      <c r="F12" s="325">
        <f>AVERAGE(F5:F9)</f>
        <v>0.53704998288454164</v>
      </c>
      <c r="G12" s="463">
        <f>AVERAGE(D12:F12)</f>
        <v>0.53727661261649839</v>
      </c>
      <c r="H12" s="304"/>
      <c r="I12" s="304"/>
      <c r="J12" s="323" t="s">
        <v>1411</v>
      </c>
      <c r="K12" s="324"/>
      <c r="L12" s="325">
        <f>AVERAGE(L5:L9)</f>
        <v>0.40719178115622989</v>
      </c>
      <c r="M12" s="325">
        <f>AVERAGE(M5:M9)</f>
        <v>0.4249678122465525</v>
      </c>
      <c r="N12" s="325">
        <f>AVERAGE(N5:N9)</f>
        <v>0.41804418885438377</v>
      </c>
      <c r="O12" s="463">
        <f>AVERAGE(L12:N12)</f>
        <v>0.41673459408572205</v>
      </c>
      <c r="P12" s="304"/>
      <c r="Q12" s="304"/>
      <c r="R12" s="323" t="s">
        <v>1411</v>
      </c>
      <c r="S12" s="324"/>
      <c r="T12" s="325">
        <f>AVERAGE(T5:T9)</f>
        <v>0</v>
      </c>
      <c r="U12" s="325">
        <f>AVERAGE(U5:U9)</f>
        <v>0</v>
      </c>
      <c r="V12" s="325">
        <f>AVERAGE(V5:V9)</f>
        <v>0</v>
      </c>
      <c r="W12" s="463">
        <f>AVERAGE(T12:V12)</f>
        <v>0</v>
      </c>
      <c r="X12" s="304"/>
      <c r="Y12" s="304"/>
      <c r="Z12" s="323" t="s">
        <v>1411</v>
      </c>
      <c r="AA12" s="324"/>
      <c r="AB12" s="325">
        <f>AVERAGE(AB5:AB9)</f>
        <v>5.277484829936193E-2</v>
      </c>
      <c r="AC12" s="325">
        <f>AVERAGE(AC5:AC9)</f>
        <v>4.0285703332902413E-2</v>
      </c>
      <c r="AD12" s="325">
        <f>AVERAGE(AD5:AD9)</f>
        <v>4.4905828261074476E-2</v>
      </c>
      <c r="AE12" s="463">
        <f>AVERAGE(AB12:AD12)</f>
        <v>4.5988793297779607E-2</v>
      </c>
      <c r="AF12" s="326"/>
      <c r="AG12" s="326"/>
    </row>
    <row r="13" spans="2:36">
      <c r="B13" s="321" t="s">
        <v>521</v>
      </c>
      <c r="C13" s="322"/>
      <c r="D13" s="326">
        <f>MIN(D5:D9)</f>
        <v>0.46336184642288014</v>
      </c>
      <c r="E13" s="326">
        <f>MIN(E5:E9)</f>
        <v>0.47223314654792237</v>
      </c>
      <c r="F13" s="326">
        <f>MIN(F5:F9)</f>
        <v>0.44079332606448823</v>
      </c>
      <c r="G13" s="464">
        <f>AVERAGE(D13:F13)</f>
        <v>0.45879610634509693</v>
      </c>
      <c r="H13" s="304"/>
      <c r="I13" s="304"/>
      <c r="J13" s="321" t="s">
        <v>521</v>
      </c>
      <c r="K13" s="322"/>
      <c r="L13" s="326">
        <f>MIN(L5:L9)</f>
        <v>0.25059207686765389</v>
      </c>
      <c r="M13" s="326">
        <f>MIN(M5:M9)</f>
        <v>0.39453349525581927</v>
      </c>
      <c r="N13" s="326">
        <f>MIN(N5:N9)</f>
        <v>0.38906552748211543</v>
      </c>
      <c r="O13" s="464">
        <f>AVERAGE(L13:N13)</f>
        <v>0.34473036653519618</v>
      </c>
      <c r="P13" s="304"/>
      <c r="Q13" s="304"/>
      <c r="R13" s="321" t="s">
        <v>521</v>
      </c>
      <c r="S13" s="322"/>
      <c r="T13" s="326">
        <f>MIN(T5:T9)</f>
        <v>0</v>
      </c>
      <c r="U13" s="326">
        <f>MIN(U5:U9)</f>
        <v>0</v>
      </c>
      <c r="V13" s="326">
        <f>MIN(V5:V9)</f>
        <v>0</v>
      </c>
      <c r="W13" s="464">
        <f>AVERAGE(T13:V13)</f>
        <v>0</v>
      </c>
      <c r="X13" s="304"/>
      <c r="Y13" s="304"/>
      <c r="Z13" s="321" t="s">
        <v>521</v>
      </c>
      <c r="AA13" s="322"/>
      <c r="AB13" s="326">
        <f>MIN(AB5:AB9)</f>
        <v>0</v>
      </c>
      <c r="AC13" s="326">
        <f>MIN(AC5:AC9)</f>
        <v>0</v>
      </c>
      <c r="AD13" s="326">
        <f>MIN(AD5:AD9)</f>
        <v>0</v>
      </c>
      <c r="AE13" s="464">
        <f>AVERAGE(AB13:AD13)</f>
        <v>0</v>
      </c>
      <c r="AF13" s="326"/>
      <c r="AG13" s="326"/>
    </row>
    <row r="14" spans="2:36" ht="13.5" thickBot="1">
      <c r="B14" s="327" t="s">
        <v>1412</v>
      </c>
      <c r="C14" s="328"/>
      <c r="D14" s="329">
        <f>MAX(D5:D9)</f>
        <v>0.60413168777188553</v>
      </c>
      <c r="E14" s="329">
        <f>MAX(E5:E9)</f>
        <v>0.60014182581046494</v>
      </c>
      <c r="F14" s="329">
        <f>MAX(F5:F9)</f>
        <v>0.61093191623433096</v>
      </c>
      <c r="G14" s="465">
        <f>AVERAGE(D14:F14)</f>
        <v>0.60506847660556051</v>
      </c>
      <c r="H14" s="304"/>
      <c r="I14" s="304"/>
      <c r="J14" s="327" t="s">
        <v>1412</v>
      </c>
      <c r="K14" s="328"/>
      <c r="L14" s="329">
        <f>MAX(L5:L9)</f>
        <v>0.52398302853770629</v>
      </c>
      <c r="M14" s="329">
        <f>MAX(M5:M9)</f>
        <v>0.45825652331886774</v>
      </c>
      <c r="N14" s="329">
        <f>MAX(N5:N9)</f>
        <v>0.45146699129665935</v>
      </c>
      <c r="O14" s="465">
        <f>AVERAGE(L14:N14)</f>
        <v>0.47790218105107779</v>
      </c>
      <c r="P14" s="304"/>
      <c r="Q14" s="304"/>
      <c r="R14" s="327" t="s">
        <v>1412</v>
      </c>
      <c r="S14" s="328"/>
      <c r="T14" s="329">
        <f>MAX(T5:T9)</f>
        <v>0</v>
      </c>
      <c r="U14" s="329">
        <f>MAX(U5:U9)</f>
        <v>0</v>
      </c>
      <c r="V14" s="329">
        <f>MAX(V5:V9)</f>
        <v>0</v>
      </c>
      <c r="W14" s="465">
        <f>AVERAGE(T14:V14)</f>
        <v>0</v>
      </c>
      <c r="X14" s="304"/>
      <c r="Y14" s="304"/>
      <c r="Z14" s="327" t="s">
        <v>1412</v>
      </c>
      <c r="AA14" s="328"/>
      <c r="AB14" s="329">
        <f>MAX(AB5:AB9)</f>
        <v>0.14527623536046069</v>
      </c>
      <c r="AC14" s="329">
        <f>MAX(AC5:AC9)</f>
        <v>0.13323335819625842</v>
      </c>
      <c r="AD14" s="329">
        <f>MAX(AD5:AD9)</f>
        <v>0.11383053724632421</v>
      </c>
      <c r="AE14" s="465">
        <f>AVERAGE(AB14:AD14)</f>
        <v>0.13078004360101445</v>
      </c>
      <c r="AF14" s="326"/>
      <c r="AG14" s="326"/>
    </row>
    <row r="15" spans="2:36">
      <c r="B15" s="321"/>
      <c r="C15" s="322"/>
      <c r="D15" s="322"/>
      <c r="E15" s="316"/>
      <c r="F15" s="316"/>
      <c r="G15" s="316"/>
      <c r="H15" s="304"/>
      <c r="I15" s="304"/>
      <c r="J15" s="321"/>
      <c r="M15" s="316"/>
      <c r="N15" s="316"/>
      <c r="O15" s="316"/>
      <c r="P15" s="304"/>
      <c r="Q15" s="304"/>
      <c r="R15" s="321"/>
      <c r="U15" s="316"/>
      <c r="V15" s="316"/>
      <c r="W15" s="316"/>
      <c r="X15" s="304"/>
      <c r="Y15" s="304"/>
      <c r="Z15" s="321"/>
      <c r="AC15" s="316"/>
      <c r="AD15" s="316"/>
      <c r="AE15" s="316"/>
    </row>
    <row r="16" spans="2:36">
      <c r="B16" s="321"/>
      <c r="C16" s="322"/>
      <c r="D16" s="322"/>
      <c r="H16" s="304"/>
      <c r="I16" s="304"/>
      <c r="J16" s="304"/>
      <c r="P16" s="304"/>
      <c r="Q16" s="304"/>
      <c r="R16" s="304"/>
      <c r="X16" s="304"/>
      <c r="Y16" s="304"/>
      <c r="Z16" s="304"/>
    </row>
    <row r="17" spans="2:31">
      <c r="B17" s="547" t="s">
        <v>1520</v>
      </c>
      <c r="C17" s="547"/>
      <c r="D17" s="547"/>
      <c r="E17" s="547"/>
      <c r="F17" s="547"/>
      <c r="G17" s="548"/>
      <c r="H17" s="304"/>
      <c r="I17" s="304"/>
      <c r="J17" s="548" t="s">
        <v>1522</v>
      </c>
      <c r="K17" s="548"/>
      <c r="L17" s="548"/>
      <c r="M17" s="548"/>
      <c r="N17" s="548"/>
      <c r="O17" s="548"/>
      <c r="P17" s="304"/>
      <c r="Q17" s="304"/>
      <c r="R17" s="547" t="s">
        <v>1523</v>
      </c>
      <c r="S17" s="547"/>
      <c r="T17" s="547"/>
      <c r="U17" s="547"/>
      <c r="V17" s="547"/>
      <c r="W17" s="548"/>
      <c r="X17" s="304"/>
      <c r="Y17" s="304"/>
      <c r="Z17" s="547" t="s">
        <v>1413</v>
      </c>
      <c r="AA17" s="547"/>
      <c r="AB17" s="547"/>
      <c r="AC17" s="547"/>
      <c r="AD17" s="547"/>
      <c r="AE17" s="548"/>
    </row>
    <row r="18" spans="2:31">
      <c r="B18" s="307" t="s">
        <v>1414</v>
      </c>
      <c r="C18" s="308" t="s">
        <v>7</v>
      </c>
      <c r="D18" s="308">
        <v>2023</v>
      </c>
      <c r="E18" s="309">
        <v>2022</v>
      </c>
      <c r="F18" s="308">
        <v>2021</v>
      </c>
      <c r="G18" s="461" t="s">
        <v>1521</v>
      </c>
      <c r="H18" s="304"/>
      <c r="I18" s="304"/>
      <c r="J18" s="307" t="s">
        <v>1414</v>
      </c>
      <c r="K18" s="308" t="s">
        <v>7</v>
      </c>
      <c r="L18" s="308">
        <v>2023</v>
      </c>
      <c r="M18" s="309">
        <v>2022</v>
      </c>
      <c r="N18" s="308">
        <v>2021</v>
      </c>
      <c r="O18" s="461" t="s">
        <v>1521</v>
      </c>
      <c r="P18" s="304"/>
      <c r="Q18" s="304"/>
      <c r="R18" s="307" t="s">
        <v>1414</v>
      </c>
      <c r="S18" s="308" t="s">
        <v>7</v>
      </c>
      <c r="T18" s="308">
        <v>2023</v>
      </c>
      <c r="U18" s="309">
        <v>2022</v>
      </c>
      <c r="V18" s="308">
        <v>2021</v>
      </c>
      <c r="W18" s="461" t="s">
        <v>1521</v>
      </c>
      <c r="X18" s="304"/>
      <c r="Y18" s="304"/>
      <c r="Z18" s="307" t="s">
        <v>1414</v>
      </c>
      <c r="AA18" s="308" t="s">
        <v>7</v>
      </c>
      <c r="AB18" s="308">
        <v>2023</v>
      </c>
      <c r="AC18" s="309">
        <v>2022</v>
      </c>
      <c r="AD18" s="308">
        <v>2021</v>
      </c>
      <c r="AE18" s="461" t="s">
        <v>1521</v>
      </c>
    </row>
    <row r="19" spans="2:31">
      <c r="B19" s="314" t="s">
        <v>1177</v>
      </c>
      <c r="C19" s="322" t="s">
        <v>457</v>
      </c>
      <c r="D19" s="319">
        <v>0.60202489920293589</v>
      </c>
      <c r="E19" s="319">
        <v>0.60014182581046494</v>
      </c>
      <c r="F19" s="316">
        <v>0.59882505093752592</v>
      </c>
      <c r="G19" s="462">
        <f>AVERAGE(D19:F19)</f>
        <v>0.60033059198364225</v>
      </c>
      <c r="H19" s="304"/>
      <c r="I19" s="304"/>
      <c r="J19" s="314" t="str">
        <f t="shared" ref="J19:J33" si="3">B19</f>
        <v>Atmos Energy Corporation</v>
      </c>
      <c r="K19" s="322" t="str">
        <f t="shared" ref="K19:K33" si="4">C19</f>
        <v>ATO</v>
      </c>
      <c r="L19" s="319">
        <v>0.39797510079706416</v>
      </c>
      <c r="M19" s="319">
        <v>0.39985817418953506</v>
      </c>
      <c r="N19" s="316">
        <v>0.40117494906247414</v>
      </c>
      <c r="O19" s="462">
        <f>AVERAGE(L19:N19)</f>
        <v>0.39966940801635781</v>
      </c>
      <c r="P19" s="304"/>
      <c r="Q19" s="304"/>
      <c r="R19" s="314" t="str">
        <f t="shared" ref="R19:R33" si="5">J19</f>
        <v>Atmos Energy Corporation</v>
      </c>
      <c r="S19" s="322" t="str">
        <f t="shared" ref="S19:S33" si="6">K19</f>
        <v>ATO</v>
      </c>
      <c r="T19" s="319">
        <v>0</v>
      </c>
      <c r="U19" s="319">
        <v>0</v>
      </c>
      <c r="V19" s="316">
        <v>0</v>
      </c>
      <c r="W19" s="462">
        <f>AVERAGE(T19:V19)</f>
        <v>0</v>
      </c>
      <c r="X19" s="304"/>
      <c r="Y19" s="304"/>
      <c r="Z19" s="314" t="str">
        <f t="shared" ref="Z19:AA33" si="7">R19</f>
        <v>Atmos Energy Corporation</v>
      </c>
      <c r="AA19" s="322" t="str">
        <f t="shared" si="7"/>
        <v>ATO</v>
      </c>
      <c r="AB19" s="319">
        <v>0</v>
      </c>
      <c r="AC19" s="319">
        <v>0</v>
      </c>
      <c r="AD19" s="316">
        <v>0</v>
      </c>
      <c r="AE19" s="462">
        <f>AVERAGE(AB19:AD19)</f>
        <v>0</v>
      </c>
    </row>
    <row r="20" spans="2:31">
      <c r="B20" s="314" t="s">
        <v>1420</v>
      </c>
      <c r="C20" s="322" t="s">
        <v>550</v>
      </c>
      <c r="D20" s="319">
        <v>0.59139055830578502</v>
      </c>
      <c r="E20" s="319">
        <v>0.56919809610305949</v>
      </c>
      <c r="F20" s="316">
        <v>0.58592688697418416</v>
      </c>
      <c r="G20" s="462">
        <f t="shared" ref="G20:G33" si="8">AVERAGE(D20:F20)</f>
        <v>0.58217184712767622</v>
      </c>
      <c r="H20" s="304"/>
      <c r="I20" s="304"/>
      <c r="J20" s="314" t="str">
        <f t="shared" si="3"/>
        <v>Northern Indiana Public Service Company LLC</v>
      </c>
      <c r="K20" s="322" t="str">
        <f t="shared" si="4"/>
        <v>NI</v>
      </c>
      <c r="L20" s="319">
        <v>0.40652690871118896</v>
      </c>
      <c r="M20" s="319">
        <v>0.4308019038969404</v>
      </c>
      <c r="N20" s="316">
        <v>0.41407311302581595</v>
      </c>
      <c r="O20" s="462">
        <f t="shared" ref="O20:O33" si="9">AVERAGE(L20:N20)</f>
        <v>0.41713397521131507</v>
      </c>
      <c r="P20" s="304"/>
      <c r="Q20" s="304"/>
      <c r="R20" s="314" t="str">
        <f t="shared" si="5"/>
        <v>Northern Indiana Public Service Company LLC</v>
      </c>
      <c r="S20" s="322" t="str">
        <f t="shared" si="6"/>
        <v>NI</v>
      </c>
      <c r="T20" s="319">
        <v>0</v>
      </c>
      <c r="U20" s="319">
        <v>0</v>
      </c>
      <c r="V20" s="316">
        <v>0</v>
      </c>
      <c r="W20" s="462">
        <f t="shared" ref="W20:W33" si="10">AVERAGE(T20:V20)</f>
        <v>0</v>
      </c>
      <c r="X20" s="304"/>
      <c r="Y20" s="304"/>
      <c r="Z20" s="314" t="str">
        <f t="shared" si="7"/>
        <v>Northern Indiana Public Service Company LLC</v>
      </c>
      <c r="AA20" s="322" t="str">
        <f t="shared" si="7"/>
        <v>NI</v>
      </c>
      <c r="AB20" s="319">
        <v>2.0825329830258567E-3</v>
      </c>
      <c r="AC20" s="319">
        <v>0</v>
      </c>
      <c r="AD20" s="316">
        <v>0</v>
      </c>
      <c r="AE20" s="462">
        <f t="shared" ref="AE20:AE33" si="11">AVERAGE(AB20:AD20)</f>
        <v>6.9417766100861886E-4</v>
      </c>
    </row>
    <row r="21" spans="2:31">
      <c r="B21" s="314" t="s">
        <v>1415</v>
      </c>
      <c r="C21" s="322" t="s">
        <v>550</v>
      </c>
      <c r="D21" s="319" t="s">
        <v>243</v>
      </c>
      <c r="E21" s="319">
        <v>0.54914596291421169</v>
      </c>
      <c r="F21" s="316">
        <v>0.53871597965608353</v>
      </c>
      <c r="G21" s="462">
        <f t="shared" si="8"/>
        <v>0.54393097128514767</v>
      </c>
      <c r="H21" s="304"/>
      <c r="I21" s="304"/>
      <c r="J21" s="314" t="str">
        <f t="shared" si="3"/>
        <v>Columbia Gas of Kentucky, Inc.</v>
      </c>
      <c r="K21" s="322" t="str">
        <f t="shared" si="4"/>
        <v>NI</v>
      </c>
      <c r="L21" s="319" t="s">
        <v>243</v>
      </c>
      <c r="M21" s="319">
        <v>0.45085403708578825</v>
      </c>
      <c r="N21" s="316">
        <v>0.46128402034391658</v>
      </c>
      <c r="O21" s="462">
        <f t="shared" si="9"/>
        <v>0.45606902871485244</v>
      </c>
      <c r="P21" s="304"/>
      <c r="Q21" s="304"/>
      <c r="R21" s="314" t="str">
        <f t="shared" si="5"/>
        <v>Columbia Gas of Kentucky, Inc.</v>
      </c>
      <c r="S21" s="322" t="str">
        <f t="shared" si="6"/>
        <v>NI</v>
      </c>
      <c r="T21" s="319" t="s">
        <v>243</v>
      </c>
      <c r="U21" s="319">
        <v>0</v>
      </c>
      <c r="V21" s="316">
        <v>0</v>
      </c>
      <c r="W21" s="462">
        <f t="shared" si="10"/>
        <v>0</v>
      </c>
      <c r="X21" s="304"/>
      <c r="Y21" s="304"/>
      <c r="Z21" s="314" t="str">
        <f t="shared" si="7"/>
        <v>Columbia Gas of Kentucky, Inc.</v>
      </c>
      <c r="AA21" s="322" t="str">
        <f t="shared" si="7"/>
        <v>NI</v>
      </c>
      <c r="AB21" s="319" t="s">
        <v>243</v>
      </c>
      <c r="AC21" s="319">
        <v>0</v>
      </c>
      <c r="AD21" s="316">
        <v>0</v>
      </c>
      <c r="AE21" s="462">
        <f t="shared" si="11"/>
        <v>0</v>
      </c>
    </row>
    <row r="22" spans="2:31">
      <c r="B22" s="314" t="s">
        <v>1416</v>
      </c>
      <c r="C22" s="322" t="s">
        <v>550</v>
      </c>
      <c r="D22" s="319">
        <v>0.51997595174175593</v>
      </c>
      <c r="E22" s="319">
        <v>0.51959843673122585</v>
      </c>
      <c r="F22" s="316">
        <v>0.55257391726322369</v>
      </c>
      <c r="G22" s="462">
        <f t="shared" si="8"/>
        <v>0.53071610191206853</v>
      </c>
      <c r="H22" s="304"/>
      <c r="I22" s="304"/>
      <c r="J22" s="314" t="str">
        <f t="shared" si="3"/>
        <v>Columbia Gas of Maryland, Inc.</v>
      </c>
      <c r="K22" s="322" t="str">
        <f t="shared" si="4"/>
        <v>NI</v>
      </c>
      <c r="L22" s="319">
        <v>0.48002404825824418</v>
      </c>
      <c r="M22" s="319">
        <v>0.48040156326877415</v>
      </c>
      <c r="N22" s="316">
        <v>0.44742608273677625</v>
      </c>
      <c r="O22" s="462">
        <f t="shared" si="9"/>
        <v>0.46928389808793153</v>
      </c>
      <c r="P22" s="304"/>
      <c r="Q22" s="304"/>
      <c r="R22" s="314" t="str">
        <f t="shared" si="5"/>
        <v>Columbia Gas of Maryland, Inc.</v>
      </c>
      <c r="S22" s="322" t="str">
        <f t="shared" si="6"/>
        <v>NI</v>
      </c>
      <c r="T22" s="319">
        <v>0</v>
      </c>
      <c r="U22" s="319">
        <v>0</v>
      </c>
      <c r="V22" s="316">
        <v>0</v>
      </c>
      <c r="W22" s="462">
        <f t="shared" si="10"/>
        <v>0</v>
      </c>
      <c r="X22" s="304"/>
      <c r="Y22" s="304"/>
      <c r="Z22" s="314" t="str">
        <f t="shared" si="7"/>
        <v>Columbia Gas of Maryland, Inc.</v>
      </c>
      <c r="AA22" s="322" t="str">
        <f t="shared" si="7"/>
        <v>NI</v>
      </c>
      <c r="AB22" s="319">
        <v>0</v>
      </c>
      <c r="AC22" s="319">
        <v>0</v>
      </c>
      <c r="AD22" s="316">
        <v>0</v>
      </c>
      <c r="AE22" s="462">
        <f t="shared" si="11"/>
        <v>0</v>
      </c>
    </row>
    <row r="23" spans="2:31">
      <c r="B23" s="314" t="s">
        <v>1417</v>
      </c>
      <c r="C23" s="322" t="s">
        <v>550</v>
      </c>
      <c r="D23" s="319">
        <v>0.50498060370431752</v>
      </c>
      <c r="E23" s="319">
        <v>0.50671954830134014</v>
      </c>
      <c r="F23" s="316">
        <v>0.50790681584632813</v>
      </c>
      <c r="G23" s="462">
        <f t="shared" si="8"/>
        <v>0.50653565595066186</v>
      </c>
      <c r="H23" s="304"/>
      <c r="I23" s="304"/>
      <c r="J23" s="314" t="str">
        <f t="shared" si="3"/>
        <v>Columbia Gas of Ohio, Inc.</v>
      </c>
      <c r="K23" s="322" t="str">
        <f t="shared" si="4"/>
        <v>NI</v>
      </c>
      <c r="L23" s="319">
        <v>0.49501939629568253</v>
      </c>
      <c r="M23" s="319">
        <v>0.49328045169865997</v>
      </c>
      <c r="N23" s="316">
        <v>0.49209318415367181</v>
      </c>
      <c r="O23" s="462">
        <f t="shared" si="9"/>
        <v>0.49346434404933809</v>
      </c>
      <c r="P23" s="304"/>
      <c r="Q23" s="304"/>
      <c r="R23" s="314" t="str">
        <f t="shared" si="5"/>
        <v>Columbia Gas of Ohio, Inc.</v>
      </c>
      <c r="S23" s="322" t="str">
        <f t="shared" si="6"/>
        <v>NI</v>
      </c>
      <c r="T23" s="319">
        <v>0</v>
      </c>
      <c r="U23" s="319">
        <v>0</v>
      </c>
      <c r="V23" s="316">
        <v>0</v>
      </c>
      <c r="W23" s="462">
        <f t="shared" si="10"/>
        <v>0</v>
      </c>
      <c r="X23" s="304"/>
      <c r="Y23" s="304"/>
      <c r="Z23" s="314" t="str">
        <f t="shared" si="7"/>
        <v>Columbia Gas of Ohio, Inc.</v>
      </c>
      <c r="AA23" s="322" t="str">
        <f t="shared" si="7"/>
        <v>NI</v>
      </c>
      <c r="AB23" s="319">
        <v>0</v>
      </c>
      <c r="AC23" s="319">
        <v>0</v>
      </c>
      <c r="AD23" s="316">
        <v>0</v>
      </c>
      <c r="AE23" s="462">
        <f t="shared" si="11"/>
        <v>0</v>
      </c>
    </row>
    <row r="24" spans="2:31">
      <c r="B24" s="314" t="s">
        <v>1418</v>
      </c>
      <c r="C24" s="322" t="s">
        <v>550</v>
      </c>
      <c r="D24" s="319">
        <v>0.55879589580291256</v>
      </c>
      <c r="E24" s="319">
        <v>0.56638717166348163</v>
      </c>
      <c r="F24" s="316">
        <v>0.56047653583773238</v>
      </c>
      <c r="G24" s="462">
        <f t="shared" si="8"/>
        <v>0.56188653443470882</v>
      </c>
      <c r="H24" s="304"/>
      <c r="I24" s="304"/>
      <c r="J24" s="314" t="str">
        <f t="shared" si="3"/>
        <v>Columbia Gas of Pennsylvania, Inc.</v>
      </c>
      <c r="K24" s="322" t="str">
        <f t="shared" si="4"/>
        <v>NI</v>
      </c>
      <c r="L24" s="319">
        <v>0.44120410419708739</v>
      </c>
      <c r="M24" s="319">
        <v>0.43361282833651849</v>
      </c>
      <c r="N24" s="316">
        <v>0.43952346416226762</v>
      </c>
      <c r="O24" s="462">
        <f t="shared" si="9"/>
        <v>0.43811346556529118</v>
      </c>
      <c r="P24" s="304"/>
      <c r="Q24" s="304"/>
      <c r="R24" s="314" t="str">
        <f t="shared" si="5"/>
        <v>Columbia Gas of Pennsylvania, Inc.</v>
      </c>
      <c r="S24" s="322" t="str">
        <f t="shared" si="6"/>
        <v>NI</v>
      </c>
      <c r="T24" s="319">
        <v>0</v>
      </c>
      <c r="U24" s="319">
        <v>0</v>
      </c>
      <c r="V24" s="316">
        <v>0</v>
      </c>
      <c r="W24" s="462">
        <f t="shared" si="10"/>
        <v>0</v>
      </c>
      <c r="X24" s="304"/>
      <c r="Y24" s="304"/>
      <c r="Z24" s="314" t="str">
        <f t="shared" si="7"/>
        <v>Columbia Gas of Pennsylvania, Inc.</v>
      </c>
      <c r="AA24" s="322" t="str">
        <f t="shared" si="7"/>
        <v>NI</v>
      </c>
      <c r="AB24" s="319">
        <v>0</v>
      </c>
      <c r="AC24" s="319">
        <v>0</v>
      </c>
      <c r="AD24" s="316">
        <v>0</v>
      </c>
      <c r="AE24" s="462">
        <f t="shared" si="11"/>
        <v>0</v>
      </c>
    </row>
    <row r="25" spans="2:31" ht="13.15" customHeight="1">
      <c r="B25" s="314" t="s">
        <v>1419</v>
      </c>
      <c r="C25" s="322" t="s">
        <v>550</v>
      </c>
      <c r="D25" s="319" t="s">
        <v>243</v>
      </c>
      <c r="E25" s="319">
        <v>0.4424755364595111</v>
      </c>
      <c r="F25" s="316">
        <v>0.44518348897408061</v>
      </c>
      <c r="G25" s="462">
        <f t="shared" si="8"/>
        <v>0.44382951271679583</v>
      </c>
      <c r="H25" s="304"/>
      <c r="I25" s="304"/>
      <c r="J25" s="314" t="str">
        <f t="shared" si="3"/>
        <v>Columbia Gas of Virginia, Inc.</v>
      </c>
      <c r="K25" s="322" t="str">
        <f t="shared" si="4"/>
        <v>NI</v>
      </c>
      <c r="L25" s="319" t="s">
        <v>243</v>
      </c>
      <c r="M25" s="319">
        <v>0.55752446354048879</v>
      </c>
      <c r="N25" s="316">
        <v>0.55481651102591933</v>
      </c>
      <c r="O25" s="462">
        <f t="shared" si="9"/>
        <v>0.55617048728320406</v>
      </c>
      <c r="P25" s="304"/>
      <c r="Q25" s="304"/>
      <c r="R25" s="314" t="str">
        <f t="shared" si="5"/>
        <v>Columbia Gas of Virginia, Inc.</v>
      </c>
      <c r="S25" s="322" t="str">
        <f t="shared" si="6"/>
        <v>NI</v>
      </c>
      <c r="T25" s="319" t="s">
        <v>243</v>
      </c>
      <c r="U25" s="319">
        <v>0</v>
      </c>
      <c r="V25" s="316">
        <v>0</v>
      </c>
      <c r="W25" s="462">
        <f t="shared" si="10"/>
        <v>0</v>
      </c>
      <c r="X25" s="304"/>
      <c r="Y25" s="304"/>
      <c r="Z25" s="314" t="str">
        <f t="shared" si="7"/>
        <v>Columbia Gas of Virginia, Inc.</v>
      </c>
      <c r="AA25" s="322" t="str">
        <f t="shared" si="7"/>
        <v>NI</v>
      </c>
      <c r="AB25" s="319" t="s">
        <v>243</v>
      </c>
      <c r="AC25" s="319">
        <v>0</v>
      </c>
      <c r="AD25" s="316">
        <v>0</v>
      </c>
      <c r="AE25" s="462">
        <f t="shared" si="11"/>
        <v>0</v>
      </c>
    </row>
    <row r="26" spans="2:31">
      <c r="B26" s="314" t="s">
        <v>1179</v>
      </c>
      <c r="C26" s="322" t="s">
        <v>1180</v>
      </c>
      <c r="D26" s="319">
        <v>0.46962122783128357</v>
      </c>
      <c r="E26" s="319">
        <v>0.47717593158995347</v>
      </c>
      <c r="F26" s="316">
        <v>0.44079332606448823</v>
      </c>
      <c r="G26" s="462">
        <f t="shared" si="8"/>
        <v>0.46253016182857509</v>
      </c>
      <c r="H26" s="304"/>
      <c r="I26" s="304"/>
      <c r="J26" s="314" t="str">
        <f t="shared" si="3"/>
        <v>Northwest Natural Gas Company</v>
      </c>
      <c r="K26" s="322" t="str">
        <f t="shared" si="4"/>
        <v>NWN</v>
      </c>
      <c r="L26" s="319">
        <v>0.52398302853770629</v>
      </c>
      <c r="M26" s="319">
        <v>0.45463136671383231</v>
      </c>
      <c r="N26" s="316">
        <v>0.44851062616001736</v>
      </c>
      <c r="O26" s="462">
        <f t="shared" si="9"/>
        <v>0.47570834047051863</v>
      </c>
      <c r="P26" s="304"/>
      <c r="Q26" s="304"/>
      <c r="R26" s="314" t="str">
        <f t="shared" si="5"/>
        <v>Northwest Natural Gas Company</v>
      </c>
      <c r="S26" s="322" t="str">
        <f t="shared" si="6"/>
        <v>NWN</v>
      </c>
      <c r="T26" s="319">
        <v>0</v>
      </c>
      <c r="U26" s="319">
        <v>0</v>
      </c>
      <c r="V26" s="316">
        <v>0</v>
      </c>
      <c r="W26" s="462">
        <f t="shared" si="10"/>
        <v>0</v>
      </c>
      <c r="X26" s="304"/>
      <c r="Y26" s="304"/>
      <c r="Z26" s="314" t="str">
        <f t="shared" si="7"/>
        <v>Northwest Natural Gas Company</v>
      </c>
      <c r="AA26" s="322" t="str">
        <f t="shared" si="7"/>
        <v>NWN</v>
      </c>
      <c r="AB26" s="319">
        <v>6.3957436310100148E-3</v>
      </c>
      <c r="AC26" s="319">
        <v>6.8192701696214206E-2</v>
      </c>
      <c r="AD26" s="316">
        <v>0.11069604777549438</v>
      </c>
      <c r="AE26" s="462">
        <f t="shared" si="11"/>
        <v>6.17614977009062E-2</v>
      </c>
    </row>
    <row r="27" spans="2:31">
      <c r="B27" s="314" t="s">
        <v>1421</v>
      </c>
      <c r="C27" s="322" t="s">
        <v>1182</v>
      </c>
      <c r="D27" s="319">
        <v>0.60440525738601847</v>
      </c>
      <c r="E27" s="319">
        <v>0.58365041810666896</v>
      </c>
      <c r="F27" s="316">
        <v>0.61369287912008685</v>
      </c>
      <c r="G27" s="462">
        <f t="shared" si="8"/>
        <v>0.60058285153759139</v>
      </c>
      <c r="H27" s="304"/>
      <c r="I27" s="304"/>
      <c r="J27" s="314" t="str">
        <f t="shared" si="3"/>
        <v>Kansas Gas Service Company, Inc.</v>
      </c>
      <c r="K27" s="322" t="str">
        <f t="shared" si="4"/>
        <v>OGS</v>
      </c>
      <c r="L27" s="319">
        <v>0.39559474261398159</v>
      </c>
      <c r="M27" s="319">
        <v>0.41634958189333121</v>
      </c>
      <c r="N27" s="316">
        <v>0.3863071208799132</v>
      </c>
      <c r="O27" s="462">
        <f t="shared" si="9"/>
        <v>0.39941714846240867</v>
      </c>
      <c r="P27" s="304"/>
      <c r="Q27" s="304"/>
      <c r="R27" s="314" t="str">
        <f t="shared" si="5"/>
        <v>Kansas Gas Service Company, Inc.</v>
      </c>
      <c r="S27" s="322" t="str">
        <f t="shared" si="6"/>
        <v>OGS</v>
      </c>
      <c r="T27" s="319">
        <v>0</v>
      </c>
      <c r="U27" s="319">
        <v>0</v>
      </c>
      <c r="V27" s="316">
        <v>0</v>
      </c>
      <c r="W27" s="462">
        <f t="shared" si="10"/>
        <v>0</v>
      </c>
      <c r="X27" s="304"/>
      <c r="Y27" s="304"/>
      <c r="Z27" s="314" t="str">
        <f t="shared" si="7"/>
        <v>Kansas Gas Service Company, Inc.</v>
      </c>
      <c r="AA27" s="322" t="str">
        <f t="shared" si="7"/>
        <v>OGS</v>
      </c>
      <c r="AB27" s="319">
        <v>0</v>
      </c>
      <c r="AC27" s="319">
        <v>0</v>
      </c>
      <c r="AD27" s="316">
        <v>0</v>
      </c>
      <c r="AE27" s="462">
        <f t="shared" si="11"/>
        <v>0</v>
      </c>
    </row>
    <row r="28" spans="2:31">
      <c r="B28" s="314" t="s">
        <v>1422</v>
      </c>
      <c r="C28" s="322" t="s">
        <v>1182</v>
      </c>
      <c r="D28" s="319">
        <v>0.60457237973734612</v>
      </c>
      <c r="E28" s="319">
        <v>0.58264035576884499</v>
      </c>
      <c r="F28" s="316">
        <v>0.60986881533702786</v>
      </c>
      <c r="G28" s="462">
        <f t="shared" si="8"/>
        <v>0.59902718361440632</v>
      </c>
      <c r="H28" s="304"/>
      <c r="I28" s="304"/>
      <c r="J28" s="314" t="str">
        <f t="shared" si="3"/>
        <v>Oklahoma Natural Gas Company</v>
      </c>
      <c r="K28" s="322" t="str">
        <f t="shared" si="4"/>
        <v>OGS</v>
      </c>
      <c r="L28" s="319">
        <v>0.39542075660929638</v>
      </c>
      <c r="M28" s="319">
        <v>0.41735296403717459</v>
      </c>
      <c r="N28" s="316">
        <v>0.39012399139913373</v>
      </c>
      <c r="O28" s="462">
        <f t="shared" si="9"/>
        <v>0.40096590401520155</v>
      </c>
      <c r="P28" s="304"/>
      <c r="Q28" s="304"/>
      <c r="R28" s="314" t="str">
        <f t="shared" si="5"/>
        <v>Oklahoma Natural Gas Company</v>
      </c>
      <c r="S28" s="322" t="str">
        <f t="shared" si="6"/>
        <v>OGS</v>
      </c>
      <c r="T28" s="319">
        <v>0</v>
      </c>
      <c r="U28" s="319">
        <v>0</v>
      </c>
      <c r="V28" s="316">
        <v>0</v>
      </c>
      <c r="W28" s="462">
        <f t="shared" si="10"/>
        <v>0</v>
      </c>
      <c r="X28" s="304"/>
      <c r="Y28" s="304"/>
      <c r="Z28" s="314" t="str">
        <f t="shared" si="7"/>
        <v>Oklahoma Natural Gas Company</v>
      </c>
      <c r="AA28" s="322" t="str">
        <f t="shared" si="7"/>
        <v>OGS</v>
      </c>
      <c r="AB28" s="319">
        <v>6.8636533573825719E-6</v>
      </c>
      <c r="AC28" s="319">
        <v>6.6801939804616276E-6</v>
      </c>
      <c r="AD28" s="316">
        <v>7.1932638383616794E-6</v>
      </c>
      <c r="AE28" s="462">
        <f t="shared" si="11"/>
        <v>6.912370392068626E-6</v>
      </c>
    </row>
    <row r="29" spans="2:31">
      <c r="B29" s="314" t="s">
        <v>1423</v>
      </c>
      <c r="C29" s="322" t="s">
        <v>1182</v>
      </c>
      <c r="D29" s="319">
        <v>0.60349040138713272</v>
      </c>
      <c r="E29" s="319">
        <v>0.58130708075533855</v>
      </c>
      <c r="F29" s="316">
        <v>0.60979995213814531</v>
      </c>
      <c r="G29" s="462">
        <f t="shared" si="8"/>
        <v>0.59819914476020564</v>
      </c>
      <c r="H29" s="304"/>
      <c r="I29" s="304"/>
      <c r="J29" s="314" t="str">
        <f t="shared" si="3"/>
        <v>Texas Gas Service Company, Inc.</v>
      </c>
      <c r="K29" s="322" t="str">
        <f t="shared" si="4"/>
        <v>OGS</v>
      </c>
      <c r="L29" s="319">
        <v>0</v>
      </c>
      <c r="M29" s="319">
        <v>0.41869291924466151</v>
      </c>
      <c r="N29" s="316">
        <v>0.39020004786185475</v>
      </c>
      <c r="O29" s="462">
        <f t="shared" si="9"/>
        <v>0.26963098903550542</v>
      </c>
      <c r="P29" s="304"/>
      <c r="Q29" s="304"/>
      <c r="R29" s="314" t="str">
        <f t="shared" si="5"/>
        <v>Texas Gas Service Company, Inc.</v>
      </c>
      <c r="S29" s="322" t="str">
        <f t="shared" si="6"/>
        <v>OGS</v>
      </c>
      <c r="T29" s="319">
        <v>0</v>
      </c>
      <c r="U29" s="319">
        <v>0</v>
      </c>
      <c r="V29" s="316">
        <v>0</v>
      </c>
      <c r="W29" s="462">
        <f t="shared" si="10"/>
        <v>0</v>
      </c>
      <c r="X29" s="304"/>
      <c r="Y29" s="304"/>
      <c r="Z29" s="314" t="str">
        <f t="shared" si="7"/>
        <v>Texas Gas Service Company, Inc.</v>
      </c>
      <c r="AA29" s="322" t="str">
        <f t="shared" si="7"/>
        <v>OGS</v>
      </c>
      <c r="AB29" s="319">
        <v>0.39650959861286722</v>
      </c>
      <c r="AC29" s="319">
        <v>0</v>
      </c>
      <c r="AD29" s="316">
        <v>0</v>
      </c>
      <c r="AE29" s="462">
        <f t="shared" si="11"/>
        <v>0.13216986620428908</v>
      </c>
    </row>
    <row r="30" spans="2:31">
      <c r="B30" s="314" t="s">
        <v>1349</v>
      </c>
      <c r="C30" s="322" t="s">
        <v>1184</v>
      </c>
      <c r="D30" s="319">
        <v>0.5149871292186804</v>
      </c>
      <c r="E30" s="319">
        <v>0.52014222560694701</v>
      </c>
      <c r="F30" s="316">
        <v>0.54906926538506839</v>
      </c>
      <c r="G30" s="462">
        <f t="shared" si="8"/>
        <v>0.52806620673689864</v>
      </c>
      <c r="H30" s="304"/>
      <c r="I30" s="304"/>
      <c r="J30" s="314" t="str">
        <f t="shared" si="3"/>
        <v>Spire Alabama Inc.</v>
      </c>
      <c r="K30" s="322" t="str">
        <f t="shared" si="4"/>
        <v>SR</v>
      </c>
      <c r="L30" s="319">
        <v>0.41616470498369834</v>
      </c>
      <c r="M30" s="319">
        <v>0.33009103566320774</v>
      </c>
      <c r="N30" s="316">
        <v>0.42044097778172362</v>
      </c>
      <c r="O30" s="462">
        <f t="shared" si="9"/>
        <v>0.38889890614287664</v>
      </c>
      <c r="P30" s="304"/>
      <c r="Q30" s="304"/>
      <c r="R30" s="314" t="str">
        <f t="shared" si="5"/>
        <v>Spire Alabama Inc.</v>
      </c>
      <c r="S30" s="322" t="str">
        <f t="shared" si="6"/>
        <v>SR</v>
      </c>
      <c r="T30" s="319">
        <v>0</v>
      </c>
      <c r="U30" s="319">
        <v>0</v>
      </c>
      <c r="V30" s="316">
        <v>0</v>
      </c>
      <c r="W30" s="462">
        <f t="shared" si="10"/>
        <v>0</v>
      </c>
      <c r="X30" s="304"/>
      <c r="Y30" s="304"/>
      <c r="Z30" s="314" t="str">
        <f t="shared" si="7"/>
        <v>Spire Alabama Inc.</v>
      </c>
      <c r="AA30" s="322" t="str">
        <f t="shared" si="7"/>
        <v>SR</v>
      </c>
      <c r="AB30" s="319">
        <v>6.8848165797621361E-2</v>
      </c>
      <c r="AC30" s="319">
        <v>0.14976673872984531</v>
      </c>
      <c r="AD30" s="316">
        <v>3.0489756833207957E-2</v>
      </c>
      <c r="AE30" s="462">
        <f t="shared" si="11"/>
        <v>8.3034887120224873E-2</v>
      </c>
    </row>
    <row r="31" spans="2:31" s="410" customFormat="1">
      <c r="B31" s="341" t="s">
        <v>1351</v>
      </c>
      <c r="C31" s="342" t="s">
        <v>1184</v>
      </c>
      <c r="D31" s="319" t="s">
        <v>243</v>
      </c>
      <c r="E31" s="319">
        <v>0.41347074927694677</v>
      </c>
      <c r="F31" s="339">
        <v>0.41138924824403894</v>
      </c>
      <c r="G31" s="462">
        <f>AVERAGE(D31:F31)</f>
        <v>0.41242999876049286</v>
      </c>
      <c r="H31" s="340"/>
      <c r="I31" s="340"/>
      <c r="J31" s="341" t="str">
        <f t="shared" si="3"/>
        <v>Spire Gulf Inc.</v>
      </c>
      <c r="K31" s="342" t="str">
        <f t="shared" si="4"/>
        <v>SR</v>
      </c>
      <c r="L31" s="319" t="s">
        <v>243</v>
      </c>
      <c r="M31" s="319">
        <v>0.38768024974550797</v>
      </c>
      <c r="N31" s="339">
        <v>0.41999722975973552</v>
      </c>
      <c r="O31" s="462">
        <f>AVERAGE(L31:N31)</f>
        <v>0.40383873975262174</v>
      </c>
      <c r="P31" s="340"/>
      <c r="Q31" s="340"/>
      <c r="R31" s="341" t="str">
        <f t="shared" si="5"/>
        <v>Spire Gulf Inc.</v>
      </c>
      <c r="S31" s="342" t="str">
        <f t="shared" si="6"/>
        <v>SR</v>
      </c>
      <c r="T31" s="319" t="s">
        <v>243</v>
      </c>
      <c r="U31" s="319">
        <v>0</v>
      </c>
      <c r="V31" s="339">
        <v>0</v>
      </c>
      <c r="W31" s="462">
        <f>AVERAGE(T31:V31)</f>
        <v>0</v>
      </c>
      <c r="X31" s="340"/>
      <c r="Y31" s="340"/>
      <c r="Z31" s="341" t="str">
        <f t="shared" si="7"/>
        <v>Spire Gulf Inc.</v>
      </c>
      <c r="AA31" s="342" t="str">
        <f t="shared" si="7"/>
        <v>SR</v>
      </c>
      <c r="AB31" s="319" t="s">
        <v>243</v>
      </c>
      <c r="AC31" s="319">
        <v>0.19884900097754518</v>
      </c>
      <c r="AD31" s="339">
        <v>0.16861352199622553</v>
      </c>
      <c r="AE31" s="462">
        <f>AVERAGE(AB31:AD31)</f>
        <v>0.18373126148688534</v>
      </c>
    </row>
    <row r="32" spans="2:31" s="410" customFormat="1">
      <c r="B32" s="341" t="s">
        <v>1424</v>
      </c>
      <c r="C32" s="342" t="s">
        <v>1184</v>
      </c>
      <c r="D32" s="319" t="s">
        <v>243</v>
      </c>
      <c r="E32" s="319">
        <v>0.38023039633032446</v>
      </c>
      <c r="F32" s="339">
        <v>0.39178103407895382</v>
      </c>
      <c r="G32" s="462">
        <f t="shared" si="8"/>
        <v>0.38600571520463911</v>
      </c>
      <c r="H32" s="340"/>
      <c r="I32" s="340"/>
      <c r="J32" s="341" t="str">
        <f t="shared" si="3"/>
        <v>Spire Mississippi Inc.</v>
      </c>
      <c r="K32" s="342" t="str">
        <f t="shared" si="4"/>
        <v>SR</v>
      </c>
      <c r="L32" s="319" t="s">
        <v>243</v>
      </c>
      <c r="M32" s="319">
        <v>0</v>
      </c>
      <c r="N32" s="339">
        <v>0</v>
      </c>
      <c r="O32" s="462">
        <f t="shared" si="9"/>
        <v>0</v>
      </c>
      <c r="P32" s="340"/>
      <c r="Q32" s="340"/>
      <c r="R32" s="341" t="str">
        <f t="shared" si="5"/>
        <v>Spire Mississippi Inc.</v>
      </c>
      <c r="S32" s="342" t="str">
        <f t="shared" si="6"/>
        <v>SR</v>
      </c>
      <c r="T32" s="319" t="s">
        <v>243</v>
      </c>
      <c r="U32" s="319">
        <v>0</v>
      </c>
      <c r="V32" s="339">
        <v>0</v>
      </c>
      <c r="W32" s="462">
        <f t="shared" si="10"/>
        <v>0</v>
      </c>
      <c r="X32" s="340"/>
      <c r="Y32" s="340"/>
      <c r="Z32" s="341" t="str">
        <f t="shared" si="7"/>
        <v>Spire Mississippi Inc.</v>
      </c>
      <c r="AA32" s="342" t="str">
        <f t="shared" si="7"/>
        <v>SR</v>
      </c>
      <c r="AB32" s="319" t="s">
        <v>243</v>
      </c>
      <c r="AC32" s="319">
        <v>0.6197696036696756</v>
      </c>
      <c r="AD32" s="339">
        <v>0.60821896592104618</v>
      </c>
      <c r="AE32" s="462">
        <f>AVERAGE(AB32:AD32)</f>
        <v>0.61399428479536089</v>
      </c>
    </row>
    <row r="33" spans="2:36">
      <c r="B33" s="467" t="s">
        <v>1425</v>
      </c>
      <c r="C33" s="468" t="s">
        <v>1184</v>
      </c>
      <c r="D33" s="469">
        <v>0.4411134979302519</v>
      </c>
      <c r="E33" s="469">
        <v>0.45486835662345632</v>
      </c>
      <c r="F33" s="470">
        <v>0.46203947964690456</v>
      </c>
      <c r="G33" s="466">
        <f t="shared" si="8"/>
        <v>0.45267377806687087</v>
      </c>
      <c r="H33" s="304"/>
      <c r="I33" s="304"/>
      <c r="J33" s="467" t="str">
        <f t="shared" si="3"/>
        <v>Spire Missouri Inc.</v>
      </c>
      <c r="K33" s="468" t="str">
        <f t="shared" si="4"/>
        <v>SR</v>
      </c>
      <c r="L33" s="469">
        <v>0.42960657692301124</v>
      </c>
      <c r="M33" s="469">
        <v>0.429082104861502</v>
      </c>
      <c r="N33" s="470">
        <v>0.39420664610126582</v>
      </c>
      <c r="O33" s="466">
        <f t="shared" si="9"/>
        <v>0.41763177596192635</v>
      </c>
      <c r="P33" s="304"/>
      <c r="Q33" s="304"/>
      <c r="R33" s="467" t="str">
        <f t="shared" si="5"/>
        <v>Spire Missouri Inc.</v>
      </c>
      <c r="S33" s="468" t="str">
        <f t="shared" si="6"/>
        <v>SR</v>
      </c>
      <c r="T33" s="469">
        <v>0</v>
      </c>
      <c r="U33" s="469">
        <v>0</v>
      </c>
      <c r="V33" s="470">
        <v>0</v>
      </c>
      <c r="W33" s="466">
        <f t="shared" si="10"/>
        <v>0</v>
      </c>
      <c r="X33" s="304"/>
      <c r="Y33" s="304"/>
      <c r="Z33" s="467" t="str">
        <f t="shared" si="7"/>
        <v>Spire Missouri Inc.</v>
      </c>
      <c r="AA33" s="468" t="str">
        <f t="shared" si="7"/>
        <v>SR</v>
      </c>
      <c r="AB33" s="469">
        <v>0.12927992514673689</v>
      </c>
      <c r="AC33" s="469">
        <v>0.11604953851504161</v>
      </c>
      <c r="AD33" s="470">
        <v>0.14375387425182962</v>
      </c>
      <c r="AE33" s="466">
        <f t="shared" si="11"/>
        <v>0.12969444597120269</v>
      </c>
    </row>
    <row r="35" spans="2:36">
      <c r="B35" s="330" t="s">
        <v>15</v>
      </c>
      <c r="J35" s="330" t="s">
        <v>15</v>
      </c>
      <c r="R35" s="330" t="s">
        <v>15</v>
      </c>
      <c r="Z35" s="330" t="s">
        <v>15</v>
      </c>
    </row>
    <row r="36" spans="2:36" ht="28.15" customHeight="1">
      <c r="B36" s="546" t="s">
        <v>1426</v>
      </c>
      <c r="C36" s="546"/>
      <c r="D36" s="546"/>
      <c r="E36" s="546"/>
      <c r="F36" s="546"/>
      <c r="G36" s="546"/>
      <c r="H36" s="304"/>
      <c r="I36" s="304"/>
      <c r="J36" s="545" t="str">
        <f>B36</f>
        <v>[1] Ratios are weighted by actual common capital, preferred equity, short-term debt and long-term debt of Operating Subsidiaries.</v>
      </c>
      <c r="K36" s="545"/>
      <c r="L36" s="545"/>
      <c r="M36" s="545"/>
      <c r="N36" s="545"/>
      <c r="O36" s="545"/>
      <c r="R36" s="545" t="str">
        <f>J36</f>
        <v>[1] Ratios are weighted by actual common capital, preferred equity, short-term debt and long-term debt of Operating Subsidiaries.</v>
      </c>
      <c r="S36" s="545"/>
      <c r="T36" s="545"/>
      <c r="U36" s="545"/>
      <c r="V36" s="545"/>
      <c r="W36" s="545"/>
      <c r="Z36" s="545" t="str">
        <f>J36</f>
        <v>[1] Ratios are weighted by actual common capital, preferred equity, short-term debt and long-term debt of Operating Subsidiaries.</v>
      </c>
      <c r="AA36" s="545"/>
      <c r="AB36" s="545"/>
      <c r="AC36" s="545"/>
      <c r="AD36" s="545"/>
      <c r="AE36" s="545"/>
    </row>
    <row r="37" spans="2:36" ht="26.65" customHeight="1">
      <c r="B37" s="545" t="s">
        <v>1519</v>
      </c>
      <c r="C37" s="545"/>
      <c r="D37" s="545"/>
      <c r="E37" s="545"/>
      <c r="F37" s="545"/>
      <c r="G37" s="545"/>
      <c r="J37" s="545" t="str">
        <f>B37</f>
        <v>[2] Natural Gas, Electric and Water operating subsidiaries where data was unable to be obtained for 2021-2023 were removed from the analysis.</v>
      </c>
      <c r="K37" s="545"/>
      <c r="L37" s="545"/>
      <c r="M37" s="545"/>
      <c r="N37" s="545"/>
      <c r="O37" s="545"/>
      <c r="R37" s="545" t="str">
        <f>J37</f>
        <v>[2] Natural Gas, Electric and Water operating subsidiaries where data was unable to be obtained for 2021-2023 were removed from the analysis.</v>
      </c>
      <c r="S37" s="545"/>
      <c r="T37" s="545"/>
      <c r="U37" s="545"/>
      <c r="V37" s="545"/>
      <c r="W37" s="545"/>
      <c r="Z37" s="545" t="str">
        <f>R37</f>
        <v>[2] Natural Gas, Electric and Water operating subsidiaries where data was unable to be obtained for 2021-2023 were removed from the analysis.</v>
      </c>
      <c r="AA37" s="545"/>
      <c r="AB37" s="545"/>
      <c r="AC37" s="545"/>
      <c r="AD37" s="545"/>
      <c r="AE37" s="545"/>
    </row>
    <row r="38" spans="2:36">
      <c r="B38" s="314"/>
      <c r="K38" s="316"/>
      <c r="L38" s="316"/>
    </row>
    <row r="39" spans="2:36">
      <c r="B39" s="331"/>
      <c r="K39" s="316"/>
      <c r="L39" s="316"/>
    </row>
    <row r="40" spans="2:36">
      <c r="B40" s="331"/>
      <c r="K40" s="316"/>
      <c r="L40" s="316"/>
    </row>
    <row r="41" spans="2:36">
      <c r="B41" s="320"/>
    </row>
    <row r="42" spans="2:36">
      <c r="B42" s="331"/>
    </row>
    <row r="43" spans="2:36" s="305" customFormat="1">
      <c r="B43" s="331"/>
      <c r="G43" s="417"/>
      <c r="H43" s="306"/>
      <c r="I43" s="306"/>
      <c r="J43" s="306"/>
      <c r="O43" s="417"/>
      <c r="P43" s="306"/>
      <c r="Q43" s="306"/>
      <c r="R43" s="306"/>
      <c r="W43" s="417"/>
      <c r="X43" s="306"/>
      <c r="Y43" s="306"/>
      <c r="Z43" s="306"/>
      <c r="AE43" s="417"/>
      <c r="AF43" s="306"/>
      <c r="AG43" s="306"/>
      <c r="AH43" s="306"/>
      <c r="AI43" s="306"/>
      <c r="AJ43" s="306"/>
    </row>
    <row r="44" spans="2:36" s="305" customFormat="1">
      <c r="B44" s="331"/>
      <c r="G44" s="417"/>
      <c r="H44" s="306"/>
      <c r="I44" s="306"/>
      <c r="J44" s="306"/>
      <c r="O44" s="417"/>
      <c r="P44" s="306"/>
      <c r="Q44" s="306"/>
      <c r="R44" s="306"/>
      <c r="W44" s="417"/>
      <c r="X44" s="306"/>
      <c r="Y44" s="306"/>
      <c r="Z44" s="306"/>
      <c r="AE44" s="417"/>
      <c r="AF44" s="306"/>
      <c r="AG44" s="306"/>
      <c r="AH44" s="306"/>
      <c r="AI44" s="306"/>
      <c r="AJ44" s="306"/>
    </row>
    <row r="45" spans="2:36" s="305" customFormat="1">
      <c r="B45" s="331"/>
      <c r="G45" s="417"/>
      <c r="H45" s="306"/>
      <c r="I45" s="306"/>
      <c r="J45" s="306"/>
      <c r="O45" s="417"/>
      <c r="P45" s="306"/>
      <c r="Q45" s="306"/>
      <c r="R45" s="306"/>
      <c r="W45" s="417"/>
      <c r="X45" s="306"/>
      <c r="Y45" s="306"/>
      <c r="Z45" s="306"/>
      <c r="AE45" s="417"/>
      <c r="AF45" s="306"/>
      <c r="AG45" s="306"/>
      <c r="AH45" s="306"/>
      <c r="AI45" s="306"/>
      <c r="AJ45" s="306"/>
    </row>
    <row r="46" spans="2:36" s="305" customFormat="1">
      <c r="B46" s="331"/>
      <c r="G46" s="417"/>
      <c r="H46" s="306"/>
      <c r="I46" s="306"/>
      <c r="J46" s="306"/>
      <c r="O46" s="417"/>
      <c r="P46" s="306"/>
      <c r="Q46" s="306"/>
      <c r="R46" s="306"/>
      <c r="W46" s="417"/>
      <c r="X46" s="306"/>
      <c r="Y46" s="306"/>
      <c r="Z46" s="306"/>
      <c r="AE46" s="417"/>
      <c r="AF46" s="306"/>
      <c r="AG46" s="306"/>
      <c r="AH46" s="306"/>
      <c r="AI46" s="306"/>
      <c r="AJ46" s="306"/>
    </row>
    <row r="47" spans="2:36" s="305" customFormat="1">
      <c r="B47" s="320"/>
      <c r="G47" s="417"/>
      <c r="H47" s="306"/>
      <c r="I47" s="306"/>
      <c r="J47" s="306"/>
      <c r="O47" s="417"/>
      <c r="P47" s="306"/>
      <c r="Q47" s="306"/>
      <c r="R47" s="306"/>
      <c r="W47" s="417"/>
      <c r="X47" s="306"/>
      <c r="Y47" s="306"/>
      <c r="Z47" s="306"/>
      <c r="AE47" s="417"/>
      <c r="AF47" s="306"/>
      <c r="AG47" s="306"/>
      <c r="AH47" s="306"/>
      <c r="AI47" s="306"/>
      <c r="AJ47" s="306"/>
    </row>
    <row r="48" spans="2:36" s="305" customFormat="1">
      <c r="B48" s="331"/>
      <c r="G48" s="417"/>
      <c r="H48" s="306"/>
      <c r="I48" s="306"/>
      <c r="J48" s="306"/>
      <c r="O48" s="417"/>
      <c r="P48" s="306"/>
      <c r="Q48" s="306"/>
      <c r="R48" s="306"/>
      <c r="W48" s="417"/>
      <c r="X48" s="306"/>
      <c r="Y48" s="306"/>
      <c r="Z48" s="306"/>
      <c r="AE48" s="417"/>
      <c r="AF48" s="306"/>
      <c r="AG48" s="306"/>
      <c r="AH48" s="306"/>
      <c r="AI48" s="306"/>
      <c r="AJ48" s="306"/>
    </row>
    <row r="49" spans="2:36" s="305" customFormat="1">
      <c r="B49" s="331"/>
      <c r="G49" s="417"/>
      <c r="H49" s="306"/>
      <c r="I49" s="306"/>
      <c r="J49" s="306"/>
      <c r="O49" s="417"/>
      <c r="P49" s="306"/>
      <c r="Q49" s="306"/>
      <c r="R49" s="306"/>
      <c r="W49" s="417"/>
      <c r="X49" s="306"/>
      <c r="Y49" s="306"/>
      <c r="Z49" s="306"/>
      <c r="AE49" s="417"/>
      <c r="AF49" s="306"/>
      <c r="AG49" s="306"/>
      <c r="AH49" s="306"/>
      <c r="AI49" s="306"/>
      <c r="AJ49" s="306"/>
    </row>
    <row r="50" spans="2:36" s="305" customFormat="1">
      <c r="B50" s="331"/>
      <c r="G50" s="417"/>
      <c r="H50" s="306"/>
      <c r="I50" s="306"/>
      <c r="J50" s="306"/>
      <c r="O50" s="417"/>
      <c r="P50" s="306"/>
      <c r="Q50" s="306"/>
      <c r="R50" s="306"/>
      <c r="W50" s="417"/>
      <c r="X50" s="306"/>
      <c r="Y50" s="306"/>
      <c r="Z50" s="306"/>
      <c r="AE50" s="417"/>
      <c r="AF50" s="306"/>
      <c r="AG50" s="306"/>
      <c r="AH50" s="306"/>
      <c r="AI50" s="306"/>
      <c r="AJ50" s="306"/>
    </row>
    <row r="51" spans="2:36" s="305" customFormat="1">
      <c r="B51" s="314"/>
      <c r="G51" s="417"/>
      <c r="H51" s="306"/>
      <c r="I51" s="306"/>
      <c r="J51" s="306"/>
      <c r="O51" s="417"/>
      <c r="P51" s="306"/>
      <c r="Q51" s="306"/>
      <c r="R51" s="306"/>
      <c r="W51" s="417"/>
      <c r="X51" s="306"/>
      <c r="Y51" s="306"/>
      <c r="Z51" s="306"/>
      <c r="AE51" s="417"/>
      <c r="AF51" s="306"/>
      <c r="AG51" s="306"/>
      <c r="AH51" s="306"/>
      <c r="AI51" s="306"/>
      <c r="AJ51" s="306"/>
    </row>
    <row r="52" spans="2:36" s="305" customFormat="1">
      <c r="B52" s="314"/>
      <c r="G52" s="417"/>
      <c r="H52" s="306"/>
      <c r="I52" s="306"/>
      <c r="J52" s="306"/>
      <c r="O52" s="417"/>
      <c r="P52" s="306"/>
      <c r="Q52" s="306"/>
      <c r="R52" s="306"/>
      <c r="W52" s="417"/>
      <c r="X52" s="306"/>
      <c r="Y52" s="306"/>
      <c r="Z52" s="306"/>
      <c r="AE52" s="417"/>
      <c r="AF52" s="306"/>
      <c r="AG52" s="306"/>
      <c r="AH52" s="306"/>
      <c r="AI52" s="306"/>
      <c r="AJ52" s="306"/>
    </row>
    <row r="53" spans="2:36" s="305" customFormat="1">
      <c r="B53" s="331"/>
      <c r="G53" s="417"/>
      <c r="H53" s="306"/>
      <c r="I53" s="306"/>
      <c r="J53" s="306"/>
      <c r="O53" s="417"/>
      <c r="P53" s="306"/>
      <c r="Q53" s="306"/>
      <c r="R53" s="306"/>
      <c r="W53" s="417"/>
      <c r="X53" s="306"/>
      <c r="Y53" s="306"/>
      <c r="Z53" s="306"/>
      <c r="AE53" s="417"/>
      <c r="AF53" s="306"/>
      <c r="AG53" s="306"/>
      <c r="AH53" s="306"/>
      <c r="AI53" s="306"/>
      <c r="AJ53" s="306"/>
    </row>
  </sheetData>
  <dataConsolidate/>
  <mergeCells count="21">
    <mergeCell ref="AH1:AJ1"/>
    <mergeCell ref="B1:G1"/>
    <mergeCell ref="J1:O1"/>
    <mergeCell ref="R1:W1"/>
    <mergeCell ref="Z1:AE1"/>
    <mergeCell ref="B17:G17"/>
    <mergeCell ref="J17:O17"/>
    <mergeCell ref="R17:W17"/>
    <mergeCell ref="Z17:AE17"/>
    <mergeCell ref="B3:G3"/>
    <mergeCell ref="J3:O3"/>
    <mergeCell ref="R3:W3"/>
    <mergeCell ref="Z3:AE3"/>
    <mergeCell ref="B37:G37"/>
    <mergeCell ref="J37:O37"/>
    <mergeCell ref="R37:W37"/>
    <mergeCell ref="Z37:AE37"/>
    <mergeCell ref="B36:G36"/>
    <mergeCell ref="J36:O36"/>
    <mergeCell ref="R36:W36"/>
    <mergeCell ref="Z36:AE36"/>
  </mergeCells>
  <conditionalFormatting sqref="C5:C9 J6:K9 R6:S9 Z6:AA9">
    <cfRule type="expression" dxfId="7" priority="9">
      <formula>"(blank)"</formula>
    </cfRule>
  </conditionalFormatting>
  <conditionalFormatting sqref="C5:C9 J6:K9 R6:S9 Z6:AA9">
    <cfRule type="expression" dxfId="6" priority="10">
      <formula>#REF!</formula>
    </cfRule>
  </conditionalFormatting>
  <conditionalFormatting sqref="K5">
    <cfRule type="expression" dxfId="5" priority="7">
      <formula>"(blank)"</formula>
    </cfRule>
  </conditionalFormatting>
  <conditionalFormatting sqref="K5">
    <cfRule type="expression" dxfId="4" priority="8">
      <formula>#REF!</formula>
    </cfRule>
  </conditionalFormatting>
  <conditionalFormatting sqref="S5">
    <cfRule type="expression" dxfId="3" priority="5">
      <formula>"(blank)"</formula>
    </cfRule>
  </conditionalFormatting>
  <conditionalFormatting sqref="S5">
    <cfRule type="expression" dxfId="2" priority="6">
      <formula>#REF!</formula>
    </cfRule>
  </conditionalFormatting>
  <conditionalFormatting sqref="AA5">
    <cfRule type="expression" dxfId="1" priority="1">
      <formula>"(blank)"</formula>
    </cfRule>
  </conditionalFormatting>
  <conditionalFormatting sqref="AA5">
    <cfRule type="expression" dxfId="0" priority="2">
      <formula>#REF!</formula>
    </cfRule>
  </conditionalFormatting>
  <printOptions horizontalCentered="1"/>
  <pageMargins left="0.7" right="0.7" top="1.75" bottom="0.75" header="0.24" footer="0.3"/>
  <pageSetup scale="85" fitToWidth="4" orientation="portrait" useFirstPageNumber="1" r:id="rId1"/>
  <headerFooter scaleWithDoc="0">
    <oddHeader>&amp;RDocket No. U-_____ 
Exhibit AEB-14 
Page &amp;P of 4</oddHeader>
  </headerFooter>
  <colBreaks count="3" manualBreakCount="3">
    <brk id="8" max="36" man="1"/>
    <brk id="16" max="42" man="1"/>
    <brk id="24" max="4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A92E-2FE0-47DC-B0C6-F551E4A3C8FB}">
  <sheetPr codeName="Sheet16">
    <pageSetUpPr fitToPage="1"/>
  </sheetPr>
  <dimension ref="A1:V58"/>
  <sheetViews>
    <sheetView zoomScaleNormal="100" zoomScaleSheetLayoutView="80" workbookViewId="0">
      <pane ySplit="9" topLeftCell="A10" activePane="bottomLeft" state="frozen"/>
      <selection pane="bottomLeft" activeCell="M42" sqref="M42"/>
    </sheetView>
  </sheetViews>
  <sheetFormatPr defaultColWidth="9.1796875" defaultRowHeight="12.5"/>
  <cols>
    <col min="1" max="1" width="3.1796875" style="473" customWidth="1"/>
    <col min="2" max="2" width="8.26953125" style="473" customWidth="1"/>
    <col min="3" max="3" width="36.7265625" style="473" customWidth="1"/>
    <col min="4" max="4" width="15.54296875" style="473" bestFit="1" customWidth="1"/>
    <col min="5" max="5" width="1.1796875" style="473" customWidth="1"/>
    <col min="6" max="6" width="10.54296875" style="473" customWidth="1"/>
    <col min="7" max="7" width="2.08984375" style="473" customWidth="1"/>
    <col min="8" max="8" width="11.26953125" style="473" bestFit="1" customWidth="1"/>
    <col min="9" max="9" width="2.54296875" style="473" customWidth="1"/>
    <col min="10" max="10" width="8.81640625" style="473" bestFit="1" customWidth="1"/>
    <col min="11" max="11" width="2.36328125" style="473" customWidth="1"/>
    <col min="12" max="12" width="13.7265625" style="473" bestFit="1" customWidth="1"/>
    <col min="13" max="13" width="31.90625" style="473" bestFit="1" customWidth="1"/>
    <col min="14" max="14" width="16.26953125" style="473" bestFit="1" customWidth="1"/>
    <col min="15" max="15" width="2.08984375" style="473" customWidth="1"/>
    <col min="16" max="17" width="19.54296875" style="473" bestFit="1" customWidth="1"/>
    <col min="18" max="18" width="17" style="473" customWidth="1"/>
    <col min="19" max="19" width="16.26953125" style="473" customWidth="1"/>
    <col min="20" max="21" width="9.1796875" style="473"/>
    <col min="22" max="22" width="19.453125" style="473" bestFit="1" customWidth="1"/>
    <col min="23" max="16384" width="9.1796875" style="473"/>
  </cols>
  <sheetData>
    <row r="1" spans="1:19" ht="13">
      <c r="B1" s="471"/>
      <c r="C1" s="471"/>
      <c r="D1" s="471"/>
      <c r="E1" s="471"/>
      <c r="F1" s="471"/>
      <c r="G1" s="471"/>
      <c r="H1" s="471"/>
      <c r="I1" s="471"/>
      <c r="J1" s="471"/>
      <c r="K1" s="471"/>
      <c r="L1" s="471"/>
      <c r="M1" s="471"/>
      <c r="N1" s="471"/>
      <c r="O1" s="472"/>
    </row>
    <row r="2" spans="1:19" ht="13">
      <c r="B2" s="551" t="s">
        <v>1574</v>
      </c>
      <c r="C2" s="551"/>
      <c r="D2" s="551"/>
      <c r="E2" s="551"/>
      <c r="F2" s="551"/>
      <c r="G2" s="551"/>
      <c r="H2" s="551"/>
      <c r="I2" s="551"/>
      <c r="J2" s="551"/>
      <c r="K2" s="551"/>
      <c r="L2" s="551"/>
      <c r="M2" s="551"/>
      <c r="N2" s="551"/>
      <c r="O2" s="551"/>
      <c r="P2" s="551"/>
      <c r="Q2" s="551"/>
      <c r="R2" s="551"/>
      <c r="S2" s="551"/>
    </row>
    <row r="3" spans="1:19" ht="13">
      <c r="A3" s="551" t="s">
        <v>1575</v>
      </c>
      <c r="B3" s="551"/>
      <c r="C3" s="551"/>
      <c r="D3" s="551"/>
      <c r="E3" s="551"/>
      <c r="F3" s="551"/>
      <c r="G3" s="551"/>
      <c r="H3" s="551"/>
      <c r="I3" s="551"/>
      <c r="J3" s="551"/>
      <c r="K3" s="551"/>
      <c r="L3" s="551"/>
      <c r="M3" s="551"/>
      <c r="N3" s="551"/>
      <c r="O3" s="551"/>
      <c r="P3" s="551"/>
      <c r="Q3" s="551"/>
      <c r="R3" s="551"/>
      <c r="S3" s="551"/>
    </row>
    <row r="5" spans="1:19" ht="13">
      <c r="M5" s="474" t="s">
        <v>1531</v>
      </c>
    </row>
    <row r="6" spans="1:19" ht="13">
      <c r="M6" s="474" t="s">
        <v>1532</v>
      </c>
    </row>
    <row r="7" spans="1:19" ht="13">
      <c r="M7" s="474" t="s">
        <v>1533</v>
      </c>
      <c r="N7" s="474" t="s">
        <v>1534</v>
      </c>
      <c r="P7" s="524" t="s">
        <v>1556</v>
      </c>
      <c r="Q7" s="524" t="s">
        <v>1556</v>
      </c>
      <c r="R7" s="524" t="s">
        <v>1557</v>
      </c>
      <c r="S7" s="524" t="s">
        <v>1557</v>
      </c>
    </row>
    <row r="8" spans="1:19" ht="13">
      <c r="D8" s="474" t="s">
        <v>1535</v>
      </c>
      <c r="F8" s="521" t="s">
        <v>1555</v>
      </c>
      <c r="L8" s="474" t="s">
        <v>1531</v>
      </c>
      <c r="M8" s="474" t="s">
        <v>1536</v>
      </c>
      <c r="N8" s="474" t="s">
        <v>1537</v>
      </c>
      <c r="P8" s="524" t="s">
        <v>1559</v>
      </c>
      <c r="Q8" s="524" t="s">
        <v>1560</v>
      </c>
      <c r="R8" s="524" t="s">
        <v>1558</v>
      </c>
      <c r="S8" s="524" t="s">
        <v>1558</v>
      </c>
    </row>
    <row r="9" spans="1:19" ht="13">
      <c r="B9" s="475" t="s">
        <v>1538</v>
      </c>
      <c r="C9" s="476"/>
      <c r="D9" s="477" t="s">
        <v>1539</v>
      </c>
      <c r="F9" s="477" t="s">
        <v>1554</v>
      </c>
      <c r="H9" s="477" t="s">
        <v>1540</v>
      </c>
      <c r="I9" s="478"/>
      <c r="J9" s="477" t="s">
        <v>1541</v>
      </c>
      <c r="L9" s="477" t="s">
        <v>1542</v>
      </c>
      <c r="M9" s="477" t="s">
        <v>1543</v>
      </c>
      <c r="N9" s="477" t="s">
        <v>1532</v>
      </c>
      <c r="P9" s="525" t="s">
        <v>1561</v>
      </c>
      <c r="Q9" s="525" t="s">
        <v>1561</v>
      </c>
      <c r="R9" s="525" t="s">
        <v>1562</v>
      </c>
      <c r="S9" s="525" t="s">
        <v>1563</v>
      </c>
    </row>
    <row r="10" spans="1:19" ht="13">
      <c r="B10" s="479"/>
      <c r="C10" s="472"/>
      <c r="D10" s="480"/>
      <c r="J10" s="480"/>
      <c r="L10" s="480"/>
      <c r="M10" s="480"/>
    </row>
    <row r="11" spans="1:19" ht="13">
      <c r="B11" s="480" t="s">
        <v>1530</v>
      </c>
      <c r="D11" s="481"/>
      <c r="J11" s="482"/>
      <c r="L11" s="481"/>
      <c r="M11" s="481" t="s">
        <v>1544</v>
      </c>
    </row>
    <row r="12" spans="1:19">
      <c r="B12" s="473" t="s">
        <v>1545</v>
      </c>
      <c r="D12" s="481">
        <v>150000000</v>
      </c>
      <c r="F12" s="483">
        <v>39119</v>
      </c>
      <c r="H12" s="483">
        <v>50072</v>
      </c>
      <c r="I12" s="484"/>
      <c r="J12" s="485">
        <v>6.25E-2</v>
      </c>
      <c r="L12" s="481">
        <f t="shared" ref="L12:L16" si="0">D12*J12</f>
        <v>9375000</v>
      </c>
      <c r="M12" s="481">
        <v>77729.16</v>
      </c>
      <c r="N12" s="481">
        <f t="shared" ref="N12:N16" si="1">L12+M12</f>
        <v>9452729.1600000001</v>
      </c>
      <c r="P12" s="294">
        <v>5.9519999999999983E-2</v>
      </c>
      <c r="Q12" s="294">
        <v>6.1630000000000004E-2</v>
      </c>
      <c r="R12" s="552">
        <f>$J12-P12</f>
        <v>2.9800000000000174E-3</v>
      </c>
      <c r="S12" s="552">
        <f>$J12-Q12</f>
        <v>8.6999999999999578E-4</v>
      </c>
    </row>
    <row r="13" spans="1:19">
      <c r="B13" s="473" t="s">
        <v>1545</v>
      </c>
      <c r="D13" s="481">
        <v>250000000</v>
      </c>
      <c r="F13" s="483">
        <v>39378</v>
      </c>
      <c r="H13" s="483">
        <v>50345</v>
      </c>
      <c r="I13" s="484"/>
      <c r="J13" s="485">
        <v>6.6250000000000003E-2</v>
      </c>
      <c r="L13" s="481">
        <f t="shared" si="0"/>
        <v>16562500</v>
      </c>
      <c r="M13" s="481">
        <v>166858.32</v>
      </c>
      <c r="N13" s="481">
        <f t="shared" si="1"/>
        <v>16729358.32</v>
      </c>
      <c r="P13" s="294">
        <v>6.1793333333333332E-2</v>
      </c>
      <c r="Q13" s="294">
        <v>6.4309999999999992E-2</v>
      </c>
      <c r="R13" s="552">
        <f t="shared" ref="R13:R21" si="2">$J13-P13</f>
        <v>4.4566666666666713E-3</v>
      </c>
      <c r="S13" s="552">
        <f t="shared" ref="S13:S21" si="3">$J13-Q13</f>
        <v>1.9400000000000112E-3</v>
      </c>
    </row>
    <row r="14" spans="1:19">
      <c r="B14" s="473" t="s">
        <v>1545</v>
      </c>
      <c r="D14" s="481">
        <v>300000000</v>
      </c>
      <c r="F14" s="483">
        <v>40564</v>
      </c>
      <c r="H14" s="483">
        <v>51516</v>
      </c>
      <c r="I14" s="484"/>
      <c r="J14" s="485">
        <v>5.8500000000000003E-2</v>
      </c>
      <c r="L14" s="481">
        <f t="shared" si="0"/>
        <v>17550000</v>
      </c>
      <c r="M14" s="481">
        <v>148186.32</v>
      </c>
      <c r="N14" s="481">
        <f t="shared" si="1"/>
        <v>17698186.32</v>
      </c>
      <c r="P14" s="294">
        <v>5.5753333333333342E-2</v>
      </c>
      <c r="Q14" s="294">
        <v>6.0630000000000003E-2</v>
      </c>
      <c r="R14" s="552">
        <f t="shared" si="2"/>
        <v>2.7466666666666611E-3</v>
      </c>
      <c r="S14" s="552">
        <f t="shared" si="3"/>
        <v>-2.1299999999999999E-3</v>
      </c>
    </row>
    <row r="15" spans="1:19">
      <c r="B15" s="473" t="s">
        <v>1545</v>
      </c>
      <c r="D15" s="481">
        <v>300000000</v>
      </c>
      <c r="F15" s="483">
        <v>42970</v>
      </c>
      <c r="H15" s="483">
        <v>53936</v>
      </c>
      <c r="I15" s="484"/>
      <c r="J15" s="485">
        <v>4.1000000000000002E-2</v>
      </c>
      <c r="L15" s="481">
        <f t="shared" si="0"/>
        <v>12300000</v>
      </c>
      <c r="M15" s="481">
        <v>217093.08000000002</v>
      </c>
      <c r="N15" s="481">
        <f t="shared" si="1"/>
        <v>12517093.08</v>
      </c>
      <c r="P15" s="294">
        <v>3.9233333333333328E-2</v>
      </c>
      <c r="Q15" s="294">
        <v>4.2896666666666666E-2</v>
      </c>
      <c r="R15" s="552">
        <f t="shared" si="2"/>
        <v>1.7666666666666733E-3</v>
      </c>
      <c r="S15" s="552">
        <f t="shared" si="3"/>
        <v>-1.8966666666666646E-3</v>
      </c>
    </row>
    <row r="16" spans="1:19">
      <c r="B16" s="473" t="s">
        <v>1545</v>
      </c>
      <c r="D16" s="481">
        <v>300000000</v>
      </c>
      <c r="F16" s="483">
        <v>43187</v>
      </c>
      <c r="H16" s="483">
        <v>46844</v>
      </c>
      <c r="I16" s="484"/>
      <c r="J16" s="485">
        <v>0.04</v>
      </c>
      <c r="L16" s="481">
        <f t="shared" si="0"/>
        <v>12000000</v>
      </c>
      <c r="M16" s="481">
        <v>318800.03999999998</v>
      </c>
      <c r="N16" s="481">
        <f t="shared" si="1"/>
        <v>12318800.039999999</v>
      </c>
      <c r="P16" s="294">
        <v>4.1316666666666661E-2</v>
      </c>
      <c r="Q16" s="294">
        <v>4.5049999999999993E-2</v>
      </c>
      <c r="R16" s="552">
        <f t="shared" si="2"/>
        <v>-1.3166666666666604E-3</v>
      </c>
      <c r="S16" s="552">
        <f t="shared" si="3"/>
        <v>-5.049999999999992E-3</v>
      </c>
    </row>
    <row r="17" spans="2:19">
      <c r="B17" s="473" t="s">
        <v>1545</v>
      </c>
      <c r="D17" s="481">
        <v>500000000</v>
      </c>
      <c r="F17" s="483">
        <v>44105</v>
      </c>
      <c r="H17" s="483">
        <v>11232</v>
      </c>
      <c r="I17" s="484"/>
      <c r="J17" s="485">
        <v>1.7500000000000002E-2</v>
      </c>
      <c r="L17" s="481">
        <f>D17*J17</f>
        <v>8750000</v>
      </c>
      <c r="M17" s="481">
        <v>507791.64</v>
      </c>
      <c r="N17" s="481">
        <f>L17+M17</f>
        <v>9257791.6400000006</v>
      </c>
      <c r="P17" s="294">
        <v>2.837333333333333E-2</v>
      </c>
      <c r="Q17" s="294">
        <v>3.1616666666666668E-2</v>
      </c>
      <c r="R17" s="552">
        <f t="shared" si="2"/>
        <v>-1.0873333333333329E-2</v>
      </c>
      <c r="S17" s="552">
        <f t="shared" si="3"/>
        <v>-1.4116666666666666E-2</v>
      </c>
    </row>
    <row r="18" spans="2:19" s="492" customFormat="1">
      <c r="B18" s="487" t="s">
        <v>1545</v>
      </c>
      <c r="C18" s="487"/>
      <c r="D18" s="488">
        <v>500000000</v>
      </c>
      <c r="E18" s="487"/>
      <c r="F18" s="489">
        <v>44721</v>
      </c>
      <c r="G18" s="487"/>
      <c r="H18" s="489">
        <v>11871</v>
      </c>
      <c r="I18" s="490"/>
      <c r="J18" s="491">
        <v>4.3999999999999997E-2</v>
      </c>
      <c r="K18" s="487"/>
      <c r="L18" s="488">
        <f>D18*J18</f>
        <v>22000000</v>
      </c>
      <c r="M18" s="488">
        <v>504802.20000000007</v>
      </c>
      <c r="N18" s="488">
        <f>L18+M18</f>
        <v>22504802.199999999</v>
      </c>
      <c r="P18" s="294">
        <v>4.7196666666666671E-2</v>
      </c>
      <c r="Q18" s="294">
        <v>5.0503333333333317E-2</v>
      </c>
      <c r="R18" s="552">
        <f t="shared" si="2"/>
        <v>-3.196666666666674E-3</v>
      </c>
      <c r="S18" s="552">
        <f t="shared" si="3"/>
        <v>-6.5033333333333193E-3</v>
      </c>
    </row>
    <row r="19" spans="2:19" s="492" customFormat="1">
      <c r="B19" s="487" t="s">
        <v>1545</v>
      </c>
      <c r="C19" s="487"/>
      <c r="D19" s="488">
        <v>900000000</v>
      </c>
      <c r="E19" s="487"/>
      <c r="F19" s="489">
        <v>44980</v>
      </c>
      <c r="G19" s="487"/>
      <c r="H19" s="489">
        <v>46813</v>
      </c>
      <c r="I19" s="490"/>
      <c r="J19" s="491">
        <v>5.2499999999999998E-2</v>
      </c>
      <c r="K19" s="487"/>
      <c r="L19" s="488">
        <f>D19*J19</f>
        <v>47250000</v>
      </c>
      <c r="M19" s="488">
        <v>280491</v>
      </c>
      <c r="N19" s="488">
        <f>L19+M19</f>
        <v>47530491</v>
      </c>
      <c r="P19" s="294">
        <v>5.1940000000000007E-2</v>
      </c>
      <c r="Q19" s="294">
        <v>5.4656666666666666E-2</v>
      </c>
      <c r="R19" s="552">
        <f t="shared" si="2"/>
        <v>5.5999999999999106E-4</v>
      </c>
      <c r="S19" s="552">
        <f t="shared" si="3"/>
        <v>-2.1566666666666678E-3</v>
      </c>
    </row>
    <row r="20" spans="2:19" s="492" customFormat="1">
      <c r="B20" s="487" t="s">
        <v>1545</v>
      </c>
      <c r="C20" s="487"/>
      <c r="D20" s="523">
        <v>600000000</v>
      </c>
      <c r="E20" s="487"/>
      <c r="F20" s="489">
        <v>44980</v>
      </c>
      <c r="G20" s="487"/>
      <c r="H20" s="489">
        <v>12114</v>
      </c>
      <c r="I20" s="490"/>
      <c r="J20" s="491">
        <v>5.3999999999999999E-2</v>
      </c>
      <c r="K20" s="487"/>
      <c r="L20" s="488">
        <f>D20*J20</f>
        <v>32400000</v>
      </c>
      <c r="M20" s="488">
        <v>549168.60000000009</v>
      </c>
      <c r="N20" s="488">
        <f>L20+M20</f>
        <v>32949168.600000001</v>
      </c>
      <c r="P20" s="294">
        <v>5.1940000000000007E-2</v>
      </c>
      <c r="Q20" s="294">
        <v>5.4656666666666666E-2</v>
      </c>
      <c r="R20" s="552">
        <f t="shared" si="2"/>
        <v>2.0599999999999924E-3</v>
      </c>
      <c r="S20" s="552">
        <f t="shared" si="3"/>
        <v>-6.5666666666666651E-4</v>
      </c>
    </row>
    <row r="21" spans="2:19" s="492" customFormat="1">
      <c r="B21" s="487" t="s">
        <v>1545</v>
      </c>
      <c r="C21" s="487"/>
      <c r="D21" s="494">
        <v>400000000</v>
      </c>
      <c r="E21" s="487"/>
      <c r="F21" s="489">
        <v>45463</v>
      </c>
      <c r="G21" s="487"/>
      <c r="H21" s="489">
        <v>49126</v>
      </c>
      <c r="I21" s="490"/>
      <c r="J21" s="491">
        <v>5.3999999999999999E-2</v>
      </c>
      <c r="K21" s="487"/>
      <c r="L21" s="488">
        <f>D21*J21</f>
        <v>21600000</v>
      </c>
      <c r="M21" s="488">
        <v>127959</v>
      </c>
      <c r="N21" s="488">
        <f>L21+M21</f>
        <v>21727959</v>
      </c>
      <c r="P21" s="294">
        <v>5.6776666666666663E-2</v>
      </c>
      <c r="Q21" s="294">
        <v>5.902333333333331E-2</v>
      </c>
      <c r="R21" s="552">
        <f t="shared" si="2"/>
        <v>-2.7766666666666634E-3</v>
      </c>
      <c r="S21" s="552">
        <f t="shared" si="3"/>
        <v>-5.0233333333333102E-3</v>
      </c>
    </row>
    <row r="22" spans="2:19" s="492" customFormat="1">
      <c r="B22" s="487"/>
      <c r="C22" s="487"/>
      <c r="D22" s="488">
        <f>SUBTOTAL(9,D12:D21)</f>
        <v>4200000000</v>
      </c>
      <c r="E22" s="487"/>
      <c r="F22" s="487"/>
      <c r="G22" s="487"/>
      <c r="H22" s="489"/>
      <c r="I22" s="490"/>
      <c r="J22" s="491"/>
      <c r="K22" s="487"/>
      <c r="L22" s="488"/>
      <c r="M22" s="488"/>
      <c r="N22" s="488"/>
      <c r="O22" s="473"/>
      <c r="P22" s="486"/>
      <c r="Q22" s="473"/>
      <c r="R22" s="522"/>
      <c r="S22" s="522"/>
    </row>
    <row r="23" spans="2:19" s="492" customFormat="1">
      <c r="B23" s="487"/>
      <c r="C23" s="487"/>
      <c r="D23" s="488"/>
      <c r="E23" s="487"/>
      <c r="F23" s="487"/>
      <c r="G23" s="487"/>
      <c r="H23" s="489"/>
      <c r="I23" s="490"/>
      <c r="J23" s="491"/>
      <c r="K23" s="487"/>
      <c r="L23" s="488"/>
      <c r="M23" s="488"/>
      <c r="N23" s="488"/>
      <c r="P23" s="493"/>
    </row>
    <row r="24" spans="2:19" s="492" customFormat="1">
      <c r="B24" s="473" t="s">
        <v>1546</v>
      </c>
      <c r="C24" s="473"/>
      <c r="D24" s="481">
        <v>0</v>
      </c>
      <c r="E24" s="473"/>
      <c r="F24" s="473"/>
      <c r="G24" s="473"/>
      <c r="H24" s="483" t="s">
        <v>1187</v>
      </c>
      <c r="I24" s="484"/>
      <c r="J24" s="485">
        <v>0</v>
      </c>
      <c r="K24" s="473"/>
      <c r="L24" s="481">
        <f>D24*J24*365/360</f>
        <v>0</v>
      </c>
      <c r="M24" s="481">
        <v>0</v>
      </c>
      <c r="N24" s="481">
        <f>L24+M24</f>
        <v>0</v>
      </c>
      <c r="O24" s="493"/>
      <c r="P24" s="493"/>
    </row>
    <row r="25" spans="2:19" ht="13">
      <c r="B25" s="495" t="s">
        <v>1547</v>
      </c>
      <c r="D25" s="496">
        <f>SUM(D22:D24)</f>
        <v>4200000000</v>
      </c>
      <c r="J25" s="482"/>
      <c r="L25" s="496">
        <f>SUM(L12:L24)</f>
        <v>199787500</v>
      </c>
      <c r="M25" s="496">
        <f>SUM(M12:M24)</f>
        <v>2898879.3600000003</v>
      </c>
      <c r="N25" s="496">
        <f>SUM(N12:N24)</f>
        <v>202686379.35999998</v>
      </c>
      <c r="P25" s="486"/>
    </row>
    <row r="26" spans="2:19" s="492" customFormat="1">
      <c r="B26" s="487"/>
      <c r="C26" s="487"/>
      <c r="D26" s="488"/>
      <c r="E26" s="487"/>
      <c r="F26" s="487"/>
      <c r="G26" s="487"/>
      <c r="H26" s="489"/>
      <c r="I26" s="490"/>
      <c r="J26" s="491"/>
      <c r="K26" s="487"/>
      <c r="L26" s="488"/>
      <c r="M26" s="488"/>
      <c r="N26" s="488"/>
      <c r="P26" s="493"/>
    </row>
    <row r="27" spans="2:19" ht="13">
      <c r="B27" s="495" t="s">
        <v>1548</v>
      </c>
      <c r="D27" s="497"/>
      <c r="L27" s="481"/>
      <c r="M27" s="481"/>
      <c r="N27" s="481"/>
      <c r="P27" s="486"/>
    </row>
    <row r="28" spans="2:19">
      <c r="B28" s="473" t="s">
        <v>1549</v>
      </c>
      <c r="D28" s="497">
        <v>0</v>
      </c>
      <c r="J28" s="498">
        <v>0</v>
      </c>
      <c r="L28" s="481">
        <f>D28*J28</f>
        <v>0</v>
      </c>
      <c r="M28" s="499">
        <f>(57209.47*12)</f>
        <v>686513.64</v>
      </c>
      <c r="N28" s="499">
        <f>L28+M28</f>
        <v>686513.64</v>
      </c>
      <c r="P28" s="486"/>
    </row>
    <row r="29" spans="2:19" s="492" customFormat="1">
      <c r="B29" s="473" t="s">
        <v>1550</v>
      </c>
      <c r="C29" s="487"/>
      <c r="D29" s="494">
        <v>0</v>
      </c>
      <c r="E29" s="487"/>
      <c r="F29" s="487"/>
      <c r="G29" s="487"/>
      <c r="H29" s="489"/>
      <c r="I29" s="490"/>
      <c r="J29" s="491">
        <v>0</v>
      </c>
      <c r="K29" s="487"/>
      <c r="L29" s="500">
        <v>0</v>
      </c>
      <c r="M29" s="501">
        <v>0</v>
      </c>
      <c r="N29" s="500">
        <v>0</v>
      </c>
      <c r="P29" s="493"/>
    </row>
    <row r="30" spans="2:19">
      <c r="D30" s="481"/>
      <c r="J30" s="482"/>
      <c r="L30" s="481"/>
      <c r="M30" s="481"/>
      <c r="P30" s="486"/>
    </row>
    <row r="31" spans="2:19" ht="13">
      <c r="B31" s="495"/>
      <c r="L31" s="502"/>
      <c r="M31" s="502"/>
      <c r="N31" s="503"/>
      <c r="P31" s="486"/>
    </row>
    <row r="32" spans="2:19" ht="13.5" thickBot="1">
      <c r="B32" s="495" t="s">
        <v>1551</v>
      </c>
      <c r="D32" s="504">
        <f>SUM(D25:D31)</f>
        <v>4200000000</v>
      </c>
      <c r="L32" s="504">
        <f>SUM(L25:L31)</f>
        <v>199787500</v>
      </c>
      <c r="M32" s="504">
        <f>SUM(M25:M31)</f>
        <v>3585393.0000000005</v>
      </c>
      <c r="N32" s="504">
        <f>SUM(N25:N31)</f>
        <v>203372892.99999997</v>
      </c>
      <c r="P32" s="486"/>
    </row>
    <row r="33" spans="2:22" ht="13.5" thickTop="1">
      <c r="B33" s="495"/>
      <c r="L33" s="505"/>
      <c r="M33" s="502"/>
      <c r="N33" s="505"/>
      <c r="P33" s="486"/>
    </row>
    <row r="34" spans="2:22" ht="13">
      <c r="B34" s="495"/>
      <c r="C34" s="506" t="s">
        <v>1552</v>
      </c>
      <c r="L34" s="505"/>
      <c r="M34" s="502"/>
      <c r="N34" s="505">
        <f>N32/D25</f>
        <v>4.8422117380952374E-2</v>
      </c>
      <c r="P34" s="526"/>
      <c r="V34" s="507"/>
    </row>
    <row r="35" spans="2:22" ht="14.5">
      <c r="B35" s="495"/>
      <c r="C35" s="506" t="s">
        <v>1553</v>
      </c>
      <c r="L35" s="508"/>
      <c r="M35" s="509"/>
      <c r="N35" s="508">
        <v>5.4399999999999997E-2</v>
      </c>
      <c r="P35"/>
      <c r="Q35" s="510"/>
      <c r="R35" s="510"/>
      <c r="S35" s="510"/>
      <c r="T35" s="510"/>
      <c r="U35" s="510"/>
      <c r="V35" s="511"/>
    </row>
    <row r="36" spans="2:22" ht="14.5">
      <c r="B36" s="512"/>
      <c r="C36" s="513"/>
      <c r="D36" s="510"/>
      <c r="E36" s="510"/>
      <c r="F36" s="510"/>
      <c r="G36" s="510"/>
      <c r="H36" s="510"/>
      <c r="I36" s="510"/>
      <c r="J36" s="510"/>
      <c r="K36" s="510"/>
      <c r="L36" s="514"/>
      <c r="M36" s="515"/>
      <c r="N36" s="514"/>
      <c r="O36" s="510"/>
      <c r="P36"/>
      <c r="Q36" s="510"/>
      <c r="R36" s="510"/>
      <c r="S36" s="510"/>
      <c r="T36" s="510"/>
      <c r="U36" s="510"/>
      <c r="V36" s="511"/>
    </row>
    <row r="37" spans="2:22" ht="13">
      <c r="B37" s="512"/>
      <c r="C37" s="510"/>
      <c r="D37" s="510"/>
      <c r="E37" s="510"/>
      <c r="F37" s="510"/>
      <c r="G37" s="510"/>
      <c r="H37" s="510"/>
      <c r="I37" s="510"/>
      <c r="J37" s="510"/>
      <c r="K37" s="510"/>
      <c r="L37" s="514"/>
      <c r="M37" s="515"/>
      <c r="N37" s="514"/>
      <c r="O37" s="510"/>
      <c r="P37" s="510"/>
      <c r="Q37" s="510"/>
      <c r="R37" s="510"/>
      <c r="S37" s="510"/>
      <c r="T37" s="510"/>
      <c r="U37" s="510"/>
      <c r="V37" s="510"/>
    </row>
    <row r="38" spans="2:22" ht="13">
      <c r="B38" s="516"/>
      <c r="C38" s="510"/>
      <c r="D38" s="510"/>
      <c r="E38" s="510"/>
      <c r="F38" s="510"/>
      <c r="G38" s="510"/>
      <c r="H38" s="510"/>
      <c r="I38" s="510"/>
      <c r="J38" s="510"/>
      <c r="K38" s="510"/>
      <c r="L38" s="514"/>
      <c r="M38" s="515"/>
      <c r="N38" s="514"/>
      <c r="O38" s="510"/>
      <c r="P38" s="510"/>
      <c r="Q38" s="510"/>
      <c r="R38" s="510"/>
      <c r="S38" s="510"/>
      <c r="T38" s="510"/>
      <c r="U38" s="510"/>
      <c r="V38" s="510"/>
    </row>
    <row r="39" spans="2:22" ht="13">
      <c r="B39" s="495"/>
      <c r="D39" s="517"/>
      <c r="L39" s="517"/>
      <c r="M39" s="517"/>
      <c r="N39" s="517"/>
      <c r="Q39" s="502"/>
    </row>
    <row r="40" spans="2:22" ht="13">
      <c r="B40" s="495"/>
      <c r="D40" s="517"/>
      <c r="L40" s="517"/>
      <c r="M40" s="517"/>
      <c r="N40" s="517"/>
      <c r="Q40" s="502"/>
    </row>
    <row r="42" spans="2:22">
      <c r="C42" s="518"/>
    </row>
    <row r="43" spans="2:22" ht="13">
      <c r="C43" s="519"/>
      <c r="R43" s="502"/>
    </row>
    <row r="58" spans="8:10">
      <c r="H58" s="520"/>
      <c r="J58" s="507"/>
    </row>
  </sheetData>
  <mergeCells count="2">
    <mergeCell ref="B2:S2"/>
    <mergeCell ref="A3:S3"/>
  </mergeCells>
  <printOptions horizontalCentered="1"/>
  <pageMargins left="1" right="1" top="1.75" bottom="1" header="0.5" footer="0.5"/>
  <pageSetup scale="35" orientation="portrait" useFirstPageNumber="1" r:id="rId1"/>
  <headerFooter alignWithMargins="0">
    <oddHeader>&amp;RDocket No. U-_____ 
Exhibit AEB-15
Page &amp;P of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3:M50"/>
  <sheetViews>
    <sheetView showGridLines="0" tabSelected="1" zoomScaleNormal="100" workbookViewId="0"/>
  </sheetViews>
  <sheetFormatPr defaultColWidth="8.7265625" defaultRowHeight="15" customHeight="1"/>
  <cols>
    <col min="1" max="1" width="8.7265625" style="4"/>
    <col min="2" max="2" width="33.54296875" style="4" bestFit="1" customWidth="1"/>
    <col min="3" max="5" width="15.54296875" style="4" customWidth="1"/>
    <col min="6" max="16384" width="8.7265625" style="4"/>
  </cols>
  <sheetData>
    <row r="3" spans="2:13" ht="15.5">
      <c r="B3" s="527" t="s">
        <v>1257</v>
      </c>
      <c r="C3" s="527"/>
      <c r="D3" s="527"/>
      <c r="E3" s="527"/>
    </row>
    <row r="4" spans="2:13" ht="15.5">
      <c r="B4" s="168"/>
      <c r="C4" s="168"/>
      <c r="D4" s="168"/>
      <c r="E4" s="168"/>
      <c r="J4" s="5"/>
      <c r="K4" s="6"/>
      <c r="L4" s="6" t="s">
        <v>73</v>
      </c>
      <c r="M4" s="6" t="s">
        <v>74</v>
      </c>
    </row>
    <row r="5" spans="2:13" ht="15.5">
      <c r="B5" s="15"/>
      <c r="C5" s="16"/>
      <c r="D5" s="16"/>
      <c r="E5" s="16"/>
      <c r="J5" s="5"/>
      <c r="K5" s="7" t="s">
        <v>1213</v>
      </c>
      <c r="L5" s="8">
        <f>C11</f>
        <v>9.126407228230228E-2</v>
      </c>
      <c r="M5" s="9">
        <v>8</v>
      </c>
    </row>
    <row r="6" spans="2:13" ht="18" customHeight="1">
      <c r="B6" s="528" t="s">
        <v>1201</v>
      </c>
      <c r="C6" s="528"/>
      <c r="D6" s="528"/>
      <c r="E6" s="528"/>
      <c r="J6" s="5"/>
      <c r="K6" s="7"/>
      <c r="L6" s="10">
        <f>D11</f>
        <v>0.10231873379062795</v>
      </c>
      <c r="M6" s="9">
        <v>8</v>
      </c>
    </row>
    <row r="7" spans="2:13" ht="15.5">
      <c r="B7" s="192"/>
      <c r="C7" s="174" t="s">
        <v>1202</v>
      </c>
      <c r="D7" s="174" t="s">
        <v>41</v>
      </c>
      <c r="E7" s="174" t="s">
        <v>1203</v>
      </c>
      <c r="J7" s="5"/>
      <c r="K7" s="7"/>
      <c r="L7" s="8">
        <f>E11</f>
        <v>0.11368592656123226</v>
      </c>
      <c r="M7" s="9">
        <v>8</v>
      </c>
    </row>
    <row r="8" spans="2:13" ht="15.5">
      <c r="B8" s="193" t="s">
        <v>76</v>
      </c>
      <c r="C8" s="12">
        <f>'AEB-4 CGDCF'!K13</f>
        <v>9.0973510255683204E-2</v>
      </c>
      <c r="D8" s="12">
        <f>'AEB-4 CGDCF'!L13</f>
        <v>0.10202645224267966</v>
      </c>
      <c r="E8" s="12">
        <f>'AEB-4 CGDCF'!M13</f>
        <v>0.1133914544479611</v>
      </c>
      <c r="J8" s="5"/>
      <c r="K8" s="7" t="s">
        <v>1214</v>
      </c>
      <c r="L8" s="8">
        <f>C16</f>
        <v>9.7044510755787905E-2</v>
      </c>
      <c r="M8" s="9">
        <v>6</v>
      </c>
    </row>
    <row r="9" spans="2:13" ht="15.5">
      <c r="B9" s="193" t="s">
        <v>77</v>
      </c>
      <c r="C9" s="12">
        <f>'AEB-4 CGDCF'!K43</f>
        <v>9.1099215841170061E-2</v>
      </c>
      <c r="D9" s="12">
        <f>'AEB-4 CGDCF'!L43</f>
        <v>0.10215308705169268</v>
      </c>
      <c r="E9" s="12">
        <f>'AEB-4 CGDCF'!M43</f>
        <v>0.11351953059609055</v>
      </c>
      <c r="J9" s="5"/>
      <c r="K9" s="7"/>
      <c r="L9" s="8">
        <f>D16</f>
        <v>0.10096619795694729</v>
      </c>
      <c r="M9" s="9">
        <v>6</v>
      </c>
    </row>
    <row r="10" spans="2:13" ht="15.5">
      <c r="B10" s="193" t="s">
        <v>79</v>
      </c>
      <c r="C10" s="12">
        <f>'AEB-4 CGDCF'!K73</f>
        <v>9.1719490750053589E-2</v>
      </c>
      <c r="D10" s="12">
        <f>'AEB-4 CGDCF'!L73</f>
        <v>0.1027766620775115</v>
      </c>
      <c r="E10" s="12">
        <f>'AEB-4 CGDCF'!M73</f>
        <v>0.1141467946396451</v>
      </c>
      <c r="J10" s="5"/>
      <c r="K10" s="7"/>
      <c r="L10" s="8">
        <f>E16</f>
        <v>0.11611787403209972</v>
      </c>
      <c r="M10" s="9">
        <v>6</v>
      </c>
    </row>
    <row r="11" spans="2:13" ht="15.5">
      <c r="B11" s="194" t="s">
        <v>75</v>
      </c>
      <c r="C11" s="167">
        <f>AVERAGE(C8:C10)</f>
        <v>9.126407228230228E-2</v>
      </c>
      <c r="D11" s="167">
        <f>AVERAGE(D8:D10)</f>
        <v>0.10231873379062795</v>
      </c>
      <c r="E11" s="167">
        <f>AVERAGE(E8:E10)</f>
        <v>0.11368592656123226</v>
      </c>
      <c r="J11" s="5"/>
      <c r="K11" s="13" t="s">
        <v>78</v>
      </c>
      <c r="L11" s="8">
        <f>MIN(C19:E21)</f>
        <v>0.10470738934044896</v>
      </c>
      <c r="M11" s="9">
        <v>5</v>
      </c>
    </row>
    <row r="12" spans="2:13" ht="15.5">
      <c r="B12" s="195"/>
      <c r="C12" s="11" t="s">
        <v>1204</v>
      </c>
      <c r="D12" s="11" t="s">
        <v>42</v>
      </c>
      <c r="E12" s="174" t="s">
        <v>1205</v>
      </c>
      <c r="G12" s="14"/>
      <c r="J12" s="5"/>
      <c r="K12" s="13"/>
      <c r="L12" s="8">
        <f>MAX(C19:E21)</f>
        <v>0.11594862946506938</v>
      </c>
      <c r="M12" s="9">
        <v>5</v>
      </c>
    </row>
    <row r="13" spans="2:13" ht="15.5">
      <c r="B13" s="193" t="s">
        <v>76</v>
      </c>
      <c r="C13" s="16">
        <f>'AEB-4 CGDCF'!K14</f>
        <v>9.6762249857140242E-2</v>
      </c>
      <c r="D13" s="16">
        <f>'AEB-4 CGDCF'!L14</f>
        <v>0.10131345060298333</v>
      </c>
      <c r="E13" s="16">
        <f>'AEB-4 CGDCF'!M14</f>
        <v>0.11583304587051083</v>
      </c>
      <c r="G13" s="14"/>
      <c r="J13" s="5"/>
      <c r="K13" s="13" t="s">
        <v>80</v>
      </c>
      <c r="L13" s="8">
        <f>MIN(C23:E25)</f>
        <v>0.1101668339972149</v>
      </c>
      <c r="M13" s="9">
        <v>2</v>
      </c>
    </row>
    <row r="14" spans="2:13" ht="18" customHeight="1">
      <c r="B14" s="193" t="s">
        <v>77</v>
      </c>
      <c r="C14" s="12">
        <f>'AEB-4 CGDCF'!K44</f>
        <v>9.687175575801768E-2</v>
      </c>
      <c r="D14" s="12">
        <f>'AEB-4 CGDCF'!L44</f>
        <v>0.10083409242966831</v>
      </c>
      <c r="E14" s="12">
        <f>'AEB-4 CGDCF'!M44</f>
        <v>0.11594354776637912</v>
      </c>
      <c r="J14" s="5"/>
      <c r="K14" s="13"/>
      <c r="L14" s="8">
        <f>MAX(C23:E25)</f>
        <v>0.11859776409068021</v>
      </c>
      <c r="M14" s="9">
        <v>2</v>
      </c>
    </row>
    <row r="15" spans="2:13" ht="15.5">
      <c r="B15" s="193" t="s">
        <v>79</v>
      </c>
      <c r="C15" s="175">
        <f>'AEB-4 CGDCF'!K74</f>
        <v>9.7499526652205765E-2</v>
      </c>
      <c r="D15" s="175">
        <f>'AEB-4 CGDCF'!L74</f>
        <v>0.10075105083819023</v>
      </c>
      <c r="E15" s="175">
        <f>'AEB-4 CGDCF'!M74</f>
        <v>0.1165770284594092</v>
      </c>
      <c r="J15" s="5"/>
      <c r="K15" s="17" t="s">
        <v>81</v>
      </c>
      <c r="L15" s="8">
        <f>MIN(C28:E28)</f>
        <v>0.10353852260250695</v>
      </c>
      <c r="M15" s="9">
        <v>1</v>
      </c>
    </row>
    <row r="16" spans="2:13" ht="15.5">
      <c r="B16" s="194" t="s">
        <v>75</v>
      </c>
      <c r="C16" s="173">
        <f>AVERAGE(C13:C15)</f>
        <v>9.7044510755787905E-2</v>
      </c>
      <c r="D16" s="173">
        <f>AVERAGE(D13:D15)</f>
        <v>0.10096619795694729</v>
      </c>
      <c r="E16" s="173">
        <f>AVERAGE(E13:E15)</f>
        <v>0.11611787403209972</v>
      </c>
      <c r="J16" s="5"/>
      <c r="L16" s="8">
        <f>MAX(C28:E28)</f>
        <v>0.10469643963793217</v>
      </c>
      <c r="M16" s="9">
        <v>1</v>
      </c>
    </row>
    <row r="17" spans="2:13" ht="15.5">
      <c r="B17" s="528" t="s">
        <v>1206</v>
      </c>
      <c r="C17" s="528"/>
      <c r="D17" s="528"/>
      <c r="E17" s="528"/>
      <c r="G17" s="14"/>
      <c r="J17" s="5"/>
      <c r="K17" s="13" t="s">
        <v>82</v>
      </c>
      <c r="L17" s="419">
        <v>0.10249999999999999</v>
      </c>
      <c r="M17" s="420">
        <v>0</v>
      </c>
    </row>
    <row r="18" spans="2:13" ht="62">
      <c r="B18" s="195"/>
      <c r="C18" s="11" t="s">
        <v>1207</v>
      </c>
      <c r="D18" s="11" t="s">
        <v>1208</v>
      </c>
      <c r="E18" s="11" t="s">
        <v>1209</v>
      </c>
      <c r="G18" s="14"/>
      <c r="K18" s="13"/>
      <c r="L18" s="419">
        <f>L17</f>
        <v>0.10249999999999999</v>
      </c>
      <c r="M18" s="420">
        <v>9</v>
      </c>
    </row>
    <row r="19" spans="2:13" ht="15.5">
      <c r="B19" s="193" t="s">
        <v>85</v>
      </c>
      <c r="C19" s="12">
        <f>'AEB-5 CAPM&amp;ECAPM'!H16</f>
        <v>0.11594862946506938</v>
      </c>
      <c r="D19" s="12">
        <f>'AEB-5 CAPM&amp;ECAPM'!H42</f>
        <v>0.11571029613173607</v>
      </c>
      <c r="E19" s="163">
        <f>'AEB-5 CAPM&amp;ECAPM'!H68</f>
        <v>0.11568429613173606</v>
      </c>
      <c r="K19" s="13" t="s">
        <v>83</v>
      </c>
      <c r="L19" s="419">
        <v>0.1125</v>
      </c>
      <c r="M19" s="420">
        <f>M17</f>
        <v>0</v>
      </c>
    </row>
    <row r="20" spans="2:13" ht="15.5">
      <c r="B20" s="193" t="s">
        <v>86</v>
      </c>
      <c r="C20" s="12">
        <f>'AEB-5 CAPM&amp;ECAPM'!H94</f>
        <v>0.10673927978853708</v>
      </c>
      <c r="D20" s="12">
        <f>'AEB-5 CAPM&amp;ECAPM'!H120</f>
        <v>0.10629381324790836</v>
      </c>
      <c r="E20" s="163">
        <f>'AEB-5 CAPM&amp;ECAPM'!H146</f>
        <v>0.10624521689802158</v>
      </c>
      <c r="G20" s="14"/>
      <c r="K20" s="6"/>
      <c r="L20" s="419">
        <f>L19</f>
        <v>0.1125</v>
      </c>
      <c r="M20" s="420">
        <v>9</v>
      </c>
    </row>
    <row r="21" spans="2:13" ht="15.5">
      <c r="B21" s="193" t="s">
        <v>87</v>
      </c>
      <c r="C21" s="12">
        <f>'AEB-5 CAPM&amp;ECAPM'!H172</f>
        <v>0.10523888008118971</v>
      </c>
      <c r="D21" s="12">
        <f>'AEB-5 CAPM&amp;ECAPM'!H198</f>
        <v>0.10475966711822675</v>
      </c>
      <c r="E21" s="163">
        <f>'AEB-5 CAPM&amp;ECAPM'!H224</f>
        <v>0.10470738934044896</v>
      </c>
      <c r="G21" s="14"/>
      <c r="K21" s="7" t="s">
        <v>1176</v>
      </c>
      <c r="L21" s="419">
        <v>9.9500000000000005E-2</v>
      </c>
      <c r="M21" s="420">
        <v>2.8</v>
      </c>
    </row>
    <row r="22" spans="2:13" ht="15.5">
      <c r="B22" s="528" t="s">
        <v>1210</v>
      </c>
      <c r="C22" s="528"/>
      <c r="D22" s="528"/>
      <c r="E22" s="528"/>
      <c r="G22" s="14"/>
      <c r="L22" s="14"/>
    </row>
    <row r="23" spans="2:13" ht="15.5">
      <c r="B23" s="193" t="s">
        <v>85</v>
      </c>
      <c r="C23" s="12">
        <f>'AEB-5 CAPM&amp;ECAPM'!I16</f>
        <v>0.11859776409068021</v>
      </c>
      <c r="D23" s="12">
        <f>'AEB-5 CAPM&amp;ECAPM'!I42</f>
        <v>0.11841901409068023</v>
      </c>
      <c r="E23" s="12">
        <f>'AEB-5 CAPM&amp;ECAPM'!I68</f>
        <v>0.11839951409068021</v>
      </c>
    </row>
    <row r="24" spans="2:13" ht="15.5">
      <c r="B24" s="193" t="s">
        <v>86</v>
      </c>
      <c r="C24" s="12">
        <f>'AEB-5 CAPM&amp;ECAPM'!I94</f>
        <v>0.11169075183328099</v>
      </c>
      <c r="D24" s="12">
        <f>'AEB-5 CAPM&amp;ECAPM'!I120</f>
        <v>0.11135665192780944</v>
      </c>
      <c r="E24" s="12">
        <f>'AEB-5 CAPM&amp;ECAPM'!I146</f>
        <v>0.11132020466539436</v>
      </c>
    </row>
    <row r="25" spans="2:13" ht="15.5">
      <c r="B25" s="196" t="s">
        <v>87</v>
      </c>
      <c r="C25" s="175">
        <f>'AEB-5 CAPM&amp;ECAPM'!I172</f>
        <v>0.11056545205277046</v>
      </c>
      <c r="D25" s="175">
        <f>'AEB-5 CAPM&amp;ECAPM'!I198</f>
        <v>0.11020604233054823</v>
      </c>
      <c r="E25" s="175">
        <f>'AEB-5 CAPM&amp;ECAPM'!I224</f>
        <v>0.1101668339972149</v>
      </c>
    </row>
    <row r="26" spans="2:13" ht="15.5">
      <c r="B26" s="528" t="s">
        <v>1211</v>
      </c>
      <c r="C26" s="528"/>
      <c r="D26" s="528"/>
      <c r="E26" s="528"/>
    </row>
    <row r="27" spans="2:13" ht="62">
      <c r="B27" s="195"/>
      <c r="C27" s="11" t="s">
        <v>1207</v>
      </c>
      <c r="D27" s="11" t="s">
        <v>1208</v>
      </c>
      <c r="E27" s="11" t="s">
        <v>1209</v>
      </c>
    </row>
    <row r="28" spans="2:13" ht="15.5">
      <c r="B28" s="197" t="s">
        <v>1212</v>
      </c>
      <c r="C28" s="198">
        <f>'AEB-8 RiskPrem'!L47</f>
        <v>0.10469643963793217</v>
      </c>
      <c r="D28" s="198">
        <f>'AEB-8 RiskPrem'!L48</f>
        <v>0.10365241608140124</v>
      </c>
      <c r="E28" s="198">
        <f>'AEB-8 RiskPrem'!L49</f>
        <v>0.10353852260250695</v>
      </c>
      <c r="G28" s="14"/>
    </row>
    <row r="29" spans="2:13" ht="6" customHeight="1">
      <c r="B29" s="195"/>
      <c r="C29" s="195"/>
      <c r="D29" s="195"/>
      <c r="E29" s="195"/>
      <c r="G29" s="14"/>
    </row>
    <row r="30" spans="2:13" ht="15.5"/>
    <row r="31" spans="2:13" ht="15.5"/>
    <row r="32" spans="2:13" ht="15.5">
      <c r="B32" s="160"/>
      <c r="C32" s="160"/>
      <c r="D32" s="160"/>
      <c r="E32" s="160"/>
      <c r="F32" s="165"/>
      <c r="G32" s="14"/>
    </row>
    <row r="33" spans="2:7" ht="15.5">
      <c r="B33" s="160"/>
      <c r="C33" s="165"/>
      <c r="D33" s="165"/>
      <c r="E33" s="165"/>
      <c r="F33" s="165"/>
      <c r="G33" s="14"/>
    </row>
    <row r="34" spans="2:7" ht="15.5">
      <c r="B34" s="160"/>
      <c r="C34" s="161"/>
      <c r="D34" s="161"/>
      <c r="E34" s="161"/>
      <c r="F34" s="165"/>
    </row>
    <row r="35" spans="2:7" ht="15.5">
      <c r="B35" s="160"/>
      <c r="C35" s="161"/>
      <c r="D35" s="161"/>
      <c r="E35" s="161"/>
      <c r="F35" s="165"/>
    </row>
    <row r="36" spans="2:7" ht="15.5">
      <c r="B36" s="160"/>
      <c r="C36" s="161"/>
      <c r="D36" s="161"/>
      <c r="E36" s="161"/>
      <c r="F36" s="165"/>
    </row>
    <row r="37" spans="2:7" ht="15.5">
      <c r="B37" s="166"/>
      <c r="C37" s="161"/>
      <c r="D37" s="161"/>
      <c r="E37" s="161"/>
      <c r="F37" s="165"/>
    </row>
    <row r="38" spans="2:7" ht="15.5">
      <c r="B38" s="162"/>
      <c r="C38" s="161"/>
      <c r="D38" s="161"/>
      <c r="E38" s="161"/>
      <c r="F38" s="165"/>
    </row>
    <row r="39" spans="2:7" ht="15" customHeight="1">
      <c r="B39" s="165"/>
      <c r="C39" s="165"/>
      <c r="D39" s="165"/>
      <c r="E39" s="165"/>
      <c r="F39" s="165"/>
    </row>
    <row r="40" spans="2:7" ht="15" customHeight="1">
      <c r="B40" s="165"/>
      <c r="C40" s="165"/>
      <c r="D40" s="165"/>
      <c r="E40" s="165"/>
      <c r="F40" s="165"/>
    </row>
    <row r="41" spans="2:7" ht="15" customHeight="1">
      <c r="B41" s="165"/>
      <c r="C41" s="165"/>
      <c r="D41" s="165"/>
      <c r="E41" s="165"/>
      <c r="F41" s="165"/>
    </row>
    <row r="42" spans="2:7" ht="15" customHeight="1">
      <c r="B42" s="165"/>
      <c r="C42" s="165"/>
      <c r="D42" s="165"/>
      <c r="E42" s="165"/>
      <c r="F42" s="165"/>
    </row>
    <row r="43" spans="2:7" ht="15" customHeight="1">
      <c r="B43" s="162"/>
      <c r="C43" s="163"/>
      <c r="D43" s="163"/>
      <c r="E43" s="163"/>
      <c r="F43" s="165"/>
    </row>
    <row r="44" spans="2:7" ht="15" customHeight="1">
      <c r="B44" s="165"/>
      <c r="C44" s="165"/>
      <c r="D44" s="165"/>
      <c r="E44" s="165"/>
      <c r="F44" s="165"/>
    </row>
    <row r="45" spans="2:7" ht="15" customHeight="1">
      <c r="B45" s="165"/>
      <c r="C45" s="165"/>
      <c r="D45" s="165"/>
      <c r="E45" s="165"/>
      <c r="F45" s="165"/>
    </row>
    <row r="46" spans="2:7" ht="15" customHeight="1">
      <c r="B46" s="165"/>
      <c r="C46" s="165"/>
      <c r="D46" s="165"/>
      <c r="E46" s="165"/>
      <c r="F46" s="165"/>
    </row>
    <row r="47" spans="2:7" ht="15" customHeight="1">
      <c r="B47" s="161"/>
      <c r="C47" s="164"/>
      <c r="D47" s="164"/>
      <c r="E47" s="164"/>
      <c r="F47" s="165"/>
    </row>
    <row r="48" spans="2:7" ht="15" customHeight="1">
      <c r="B48" s="165"/>
      <c r="C48" s="165"/>
      <c r="D48" s="165"/>
      <c r="E48" s="165"/>
      <c r="F48" s="165"/>
    </row>
    <row r="49" spans="2:6" ht="15" customHeight="1">
      <c r="B49" s="165"/>
      <c r="C49" s="165"/>
      <c r="D49" s="165"/>
      <c r="E49" s="165"/>
      <c r="F49" s="165"/>
    </row>
    <row r="50" spans="2:6" ht="15" customHeight="1">
      <c r="B50" s="165"/>
      <c r="C50" s="165"/>
      <c r="D50" s="165"/>
      <c r="E50" s="165"/>
      <c r="F50" s="165"/>
    </row>
  </sheetData>
  <mergeCells count="5">
    <mergeCell ref="B3:E3"/>
    <mergeCell ref="B6:E6"/>
    <mergeCell ref="B17:E17"/>
    <mergeCell ref="B22:E22"/>
    <mergeCell ref="B26:E26"/>
  </mergeCells>
  <printOptions horizontalCentered="1"/>
  <pageMargins left="0.7" right="0.7" top="1.5" bottom="0.75" header="0.3" footer="0.3"/>
  <pageSetup orientation="portrait" useFirstPageNumber="1" r:id="rId1"/>
  <headerFooter scaleWithDoc="0">
    <oddHeader>&amp;RDocket No. U-_____ 
Exhibit AEB-2
Page &amp;P of 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fitToPage="1"/>
  </sheetPr>
  <dimension ref="B2:Q22"/>
  <sheetViews>
    <sheetView showGridLines="0" zoomScaleNormal="100" workbookViewId="0">
      <selection activeCell="F33" sqref="F33"/>
    </sheetView>
  </sheetViews>
  <sheetFormatPr defaultColWidth="8.7265625" defaultRowHeight="15" customHeight="1"/>
  <cols>
    <col min="1" max="1" width="8.7265625" style="20"/>
    <col min="2" max="2" width="35.81640625" style="20" customWidth="1"/>
    <col min="3" max="3" width="8.7265625" style="20"/>
    <col min="4" max="4" width="9.453125" style="20" customWidth="1"/>
    <col min="5" max="6" width="17.81640625" style="20" customWidth="1"/>
    <col min="7" max="7" width="18.7265625" style="20" customWidth="1"/>
    <col min="8" max="8" width="18.54296875" style="20" customWidth="1"/>
    <col min="9" max="9" width="16" style="20" customWidth="1"/>
    <col min="10" max="10" width="18.54296875" style="20" customWidth="1"/>
    <col min="11" max="11" width="8.7265625" style="20"/>
    <col min="12" max="17" width="8.7265625" style="133"/>
    <col min="18" max="16384" width="8.7265625" style="20"/>
  </cols>
  <sheetData>
    <row r="2" spans="2:17" ht="15" customHeight="1">
      <c r="B2" s="131"/>
      <c r="C2" s="131"/>
      <c r="D2" s="131"/>
      <c r="E2" s="131"/>
      <c r="F2" s="131"/>
      <c r="G2" s="131"/>
      <c r="H2" s="131"/>
      <c r="I2" s="131"/>
      <c r="J2" s="131"/>
    </row>
    <row r="3" spans="2:17" ht="15" customHeight="1">
      <c r="B3" s="529" t="s">
        <v>1222</v>
      </c>
      <c r="C3" s="529"/>
      <c r="D3" s="529"/>
      <c r="E3" s="529"/>
      <c r="F3" s="529"/>
      <c r="G3" s="529"/>
      <c r="H3" s="529"/>
      <c r="I3" s="529"/>
      <c r="J3" s="529"/>
    </row>
    <row r="4" spans="2:17" ht="15" customHeight="1">
      <c r="B4" s="131"/>
      <c r="C4" s="131"/>
      <c r="D4" s="131"/>
      <c r="E4" s="131"/>
      <c r="F4" s="131"/>
      <c r="G4" s="131"/>
      <c r="H4" s="131"/>
      <c r="I4" s="131"/>
      <c r="J4" s="131"/>
    </row>
    <row r="5" spans="2:17" ht="16" thickBot="1">
      <c r="B5" s="131"/>
      <c r="C5" s="131"/>
      <c r="D5" s="138" t="s">
        <v>0</v>
      </c>
      <c r="E5" s="138" t="s">
        <v>1</v>
      </c>
      <c r="F5" s="138" t="s">
        <v>2</v>
      </c>
      <c r="G5" s="132" t="s">
        <v>2</v>
      </c>
      <c r="H5" s="132" t="s">
        <v>3</v>
      </c>
      <c r="I5" s="132" t="s">
        <v>4</v>
      </c>
      <c r="J5" s="133" t="s">
        <v>5</v>
      </c>
      <c r="L5" s="138"/>
      <c r="M5" s="138"/>
      <c r="N5" s="138"/>
      <c r="O5" s="138"/>
      <c r="P5" s="138"/>
      <c r="Q5" s="138"/>
    </row>
    <row r="6" spans="2:17" ht="97.5" customHeight="1">
      <c r="B6" s="172" t="s">
        <v>6</v>
      </c>
      <c r="C6" s="170" t="s">
        <v>7</v>
      </c>
      <c r="D6" s="177" t="s">
        <v>8</v>
      </c>
      <c r="E6" s="178" t="s">
        <v>28</v>
      </c>
      <c r="F6" s="178" t="s">
        <v>1215</v>
      </c>
      <c r="G6" s="178" t="s">
        <v>9</v>
      </c>
      <c r="H6" s="171" t="s">
        <v>1239</v>
      </c>
      <c r="I6" s="169" t="s">
        <v>1185</v>
      </c>
      <c r="J6" s="169" t="s">
        <v>10</v>
      </c>
      <c r="L6" s="142"/>
      <c r="M6" s="142"/>
      <c r="N6" s="142"/>
      <c r="O6" s="142"/>
      <c r="P6" s="142"/>
      <c r="Q6" s="142"/>
    </row>
    <row r="7" spans="2:17" ht="15" customHeight="1">
      <c r="B7" s="134" t="s">
        <v>1177</v>
      </c>
      <c r="C7" s="2" t="s">
        <v>457</v>
      </c>
      <c r="D7" s="23" t="s">
        <v>11</v>
      </c>
      <c r="E7" s="23" t="s">
        <v>12</v>
      </c>
      <c r="F7" s="23" t="s">
        <v>11</v>
      </c>
      <c r="G7" s="23" t="s">
        <v>11</v>
      </c>
      <c r="H7" s="40">
        <v>1</v>
      </c>
      <c r="I7" s="40">
        <v>0.66296682561473397</v>
      </c>
      <c r="J7" s="2" t="s">
        <v>13</v>
      </c>
      <c r="L7" s="141"/>
      <c r="M7" s="141"/>
      <c r="N7" s="141"/>
      <c r="O7" s="141"/>
      <c r="P7" s="141"/>
      <c r="Q7" s="141"/>
    </row>
    <row r="8" spans="2:17" ht="15" customHeight="1">
      <c r="B8" s="134" t="s">
        <v>1178</v>
      </c>
      <c r="C8" s="2" t="s">
        <v>550</v>
      </c>
      <c r="D8" s="23" t="s">
        <v>11</v>
      </c>
      <c r="E8" s="23" t="s">
        <v>14</v>
      </c>
      <c r="F8" s="23" t="s">
        <v>11</v>
      </c>
      <c r="G8" s="23" t="s">
        <v>11</v>
      </c>
      <c r="H8" s="40">
        <v>0.9989019299491303</v>
      </c>
      <c r="I8" s="40">
        <v>0.67833334767399822</v>
      </c>
      <c r="J8" s="2" t="s">
        <v>13</v>
      </c>
      <c r="L8" s="141"/>
      <c r="M8" s="141"/>
      <c r="N8" s="141"/>
      <c r="O8" s="141"/>
      <c r="P8" s="141"/>
      <c r="Q8" s="141"/>
    </row>
    <row r="9" spans="2:17" ht="15" customHeight="1">
      <c r="B9" s="134" t="s">
        <v>1179</v>
      </c>
      <c r="C9" s="2" t="s">
        <v>1180</v>
      </c>
      <c r="D9" s="23" t="s">
        <v>11</v>
      </c>
      <c r="E9" s="23" t="s">
        <v>941</v>
      </c>
      <c r="F9" s="23" t="s">
        <v>11</v>
      </c>
      <c r="G9" s="23" t="s">
        <v>11</v>
      </c>
      <c r="H9" s="40">
        <v>1</v>
      </c>
      <c r="I9" s="40">
        <v>0.90546576858911543</v>
      </c>
      <c r="J9" s="2" t="s">
        <v>13</v>
      </c>
      <c r="L9" s="141"/>
      <c r="M9" s="141"/>
      <c r="N9" s="141"/>
      <c r="O9" s="141"/>
      <c r="P9" s="141"/>
      <c r="Q9" s="141"/>
    </row>
    <row r="10" spans="2:17" ht="15" customHeight="1">
      <c r="B10" s="134" t="s">
        <v>1181</v>
      </c>
      <c r="C10" s="2" t="s">
        <v>1182</v>
      </c>
      <c r="D10" s="23" t="s">
        <v>11</v>
      </c>
      <c r="E10" s="23" t="s">
        <v>12</v>
      </c>
      <c r="F10" s="23" t="s">
        <v>11</v>
      </c>
      <c r="G10" s="23" t="s">
        <v>11</v>
      </c>
      <c r="H10" s="40">
        <v>1</v>
      </c>
      <c r="I10" s="40">
        <v>1</v>
      </c>
      <c r="J10" s="2" t="s">
        <v>13</v>
      </c>
      <c r="L10" s="141"/>
      <c r="M10" s="141"/>
      <c r="N10" s="141"/>
      <c r="O10" s="141"/>
      <c r="P10" s="141"/>
      <c r="Q10" s="141"/>
    </row>
    <row r="11" spans="2:17" ht="15" customHeight="1">
      <c r="B11" s="135" t="s">
        <v>1183</v>
      </c>
      <c r="C11" s="136" t="s">
        <v>1184</v>
      </c>
      <c r="D11" s="28" t="s">
        <v>11</v>
      </c>
      <c r="E11" s="28" t="s">
        <v>14</v>
      </c>
      <c r="F11" s="28" t="s">
        <v>11</v>
      </c>
      <c r="G11" s="28" t="s">
        <v>11</v>
      </c>
      <c r="H11" s="124">
        <v>0.83381782832354734</v>
      </c>
      <c r="I11" s="124">
        <v>1</v>
      </c>
      <c r="J11" s="136" t="s">
        <v>13</v>
      </c>
      <c r="L11" s="141"/>
      <c r="M11" s="141"/>
      <c r="N11" s="141"/>
      <c r="O11" s="141"/>
      <c r="P11" s="141"/>
      <c r="Q11" s="141"/>
    </row>
    <row r="12" spans="2:17" ht="15" customHeight="1">
      <c r="B12" s="131"/>
      <c r="C12" s="131"/>
    </row>
    <row r="13" spans="2:17" ht="15" customHeight="1">
      <c r="B13" s="137" t="s">
        <v>15</v>
      </c>
      <c r="C13" s="131"/>
    </row>
    <row r="14" spans="2:17" ht="15" customHeight="1">
      <c r="B14" s="131" t="s">
        <v>1216</v>
      </c>
      <c r="C14" s="131"/>
    </row>
    <row r="15" spans="2:17" ht="15" customHeight="1">
      <c r="B15" s="131" t="s">
        <v>1217</v>
      </c>
      <c r="C15" s="131"/>
    </row>
    <row r="16" spans="2:17" ht="15" customHeight="1">
      <c r="B16" s="131" t="s">
        <v>1218</v>
      </c>
      <c r="C16" s="131"/>
    </row>
    <row r="17" spans="2:3" ht="15" customHeight="1">
      <c r="B17" s="131" t="s">
        <v>1219</v>
      </c>
      <c r="C17" s="131"/>
    </row>
    <row r="18" spans="2:3" ht="15" customHeight="1">
      <c r="B18" s="131" t="s">
        <v>1283</v>
      </c>
      <c r="C18" s="131"/>
    </row>
    <row r="19" spans="2:3" ht="15" customHeight="1">
      <c r="B19" s="131" t="s">
        <v>1284</v>
      </c>
      <c r="C19" s="131"/>
    </row>
    <row r="20" spans="2:3" ht="15" customHeight="1">
      <c r="B20" s="20" t="s">
        <v>1220</v>
      </c>
      <c r="C20" s="131"/>
    </row>
    <row r="21" spans="2:3" ht="15" customHeight="1">
      <c r="C21" s="131"/>
    </row>
    <row r="22" spans="2:3" ht="15" customHeight="1">
      <c r="B22" s="131"/>
      <c r="C22" s="131"/>
    </row>
  </sheetData>
  <mergeCells count="1">
    <mergeCell ref="B3:J3"/>
  </mergeCells>
  <phoneticPr fontId="18" type="noConversion"/>
  <conditionalFormatting sqref="L1:Q1048576">
    <cfRule type="containsText" dxfId="81" priority="3" operator="containsText" text="TRUE">
      <formula>NOT(ISERROR(SEARCH("TRUE",L1)))</formula>
    </cfRule>
    <cfRule type="containsText" dxfId="80" priority="4" operator="containsText" text="FALSE">
      <formula>NOT(ISERROR(SEARCH("FALSE",L1)))</formula>
    </cfRule>
  </conditionalFormatting>
  <printOptions horizontalCentered="1"/>
  <pageMargins left="0.7" right="0.7" top="1.5" bottom="0.75" header="0.3" footer="0.3"/>
  <pageSetup scale="56" orientation="portrait" useFirstPageNumber="1" r:id="rId1"/>
  <headerFooter scaleWithDoc="0">
    <oddHeader>&amp;RDocket No. U-_____ 
Exhibit AEB-3
Page &amp;P of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autoPageBreaks="0" fitToPage="1"/>
  </sheetPr>
  <dimension ref="A1:Z88"/>
  <sheetViews>
    <sheetView showGridLines="0" zoomScale="106" zoomScaleNormal="106" workbookViewId="0">
      <selection activeCell="H20" sqref="H20"/>
    </sheetView>
  </sheetViews>
  <sheetFormatPr defaultColWidth="8.7265625" defaultRowHeight="15" customHeight="1"/>
  <cols>
    <col min="1" max="1" width="31.26953125" style="18" customWidth="1"/>
    <col min="2" max="2" width="8.7265625" style="18"/>
    <col min="3" max="3" width="13.81640625" style="35" customWidth="1"/>
    <col min="4" max="4" width="10.54296875" style="35" customWidth="1"/>
    <col min="5" max="5" width="9.7265625" style="35" customWidth="1"/>
    <col min="6" max="6" width="12" style="35" customWidth="1"/>
    <col min="7" max="7" width="11.453125" style="35" customWidth="1"/>
    <col min="8" max="8" width="13.54296875" style="35" customWidth="1"/>
    <col min="9" max="9" width="12.1796875" style="35" customWidth="1"/>
    <col min="10" max="10" width="11.1796875" style="18" customWidth="1"/>
    <col min="11" max="11" width="12" style="18" customWidth="1"/>
    <col min="12" max="12" width="11.26953125" style="18" customWidth="1"/>
    <col min="13" max="13" width="11.453125" style="18" customWidth="1"/>
    <col min="14" max="14" width="3.453125" style="18" customWidth="1"/>
    <col min="15" max="17" width="11.453125" style="18" customWidth="1"/>
    <col min="18" max="16384" width="8.7265625" style="18"/>
  </cols>
  <sheetData>
    <row r="1" spans="1:26" ht="15.5">
      <c r="A1" s="148">
        <v>45473</v>
      </c>
      <c r="P1" s="530"/>
      <c r="Q1" s="530"/>
      <c r="R1" s="530"/>
      <c r="S1" s="530"/>
      <c r="T1" s="530"/>
      <c r="U1" s="530"/>
      <c r="V1" s="530"/>
      <c r="W1" s="530"/>
      <c r="X1" s="530"/>
      <c r="Y1" s="530"/>
      <c r="Z1" s="530"/>
    </row>
    <row r="2" spans="1:26" ht="15.5">
      <c r="A2" s="532" t="s">
        <v>29</v>
      </c>
      <c r="B2" s="532"/>
      <c r="C2" s="532"/>
      <c r="D2" s="532"/>
      <c r="E2" s="532"/>
      <c r="F2" s="532"/>
      <c r="G2" s="532"/>
      <c r="H2" s="532"/>
      <c r="I2" s="532"/>
      <c r="J2" s="532"/>
      <c r="K2" s="532"/>
      <c r="L2" s="532"/>
      <c r="M2" s="532"/>
      <c r="N2" s="153"/>
      <c r="O2" s="118"/>
      <c r="P2" s="22"/>
      <c r="Q2" s="22"/>
      <c r="R2" s="22"/>
    </row>
    <row r="3" spans="1:26" ht="15.5">
      <c r="A3" s="69"/>
      <c r="G3" s="531"/>
      <c r="H3" s="531"/>
      <c r="I3" s="531"/>
      <c r="P3" s="530"/>
      <c r="Q3" s="530"/>
      <c r="R3" s="530"/>
    </row>
    <row r="4" spans="1:26" ht="16" thickBot="1">
      <c r="C4" s="119">
        <v>1</v>
      </c>
      <c r="D4" s="119">
        <v>2</v>
      </c>
      <c r="E4" s="119">
        <v>3</v>
      </c>
      <c r="F4" s="119">
        <v>4</v>
      </c>
      <c r="G4" s="119">
        <v>5</v>
      </c>
      <c r="H4" s="119">
        <v>6</v>
      </c>
      <c r="I4" s="119">
        <v>7</v>
      </c>
      <c r="J4" s="119">
        <v>8</v>
      </c>
      <c r="K4" s="119">
        <v>9</v>
      </c>
      <c r="L4" s="119">
        <v>10</v>
      </c>
      <c r="M4" s="119">
        <v>11</v>
      </c>
      <c r="N4" s="119"/>
      <c r="P4" s="33"/>
      <c r="Q4" s="33"/>
      <c r="R4" s="33"/>
    </row>
    <row r="5" spans="1:26" ht="77.5">
      <c r="A5" s="120" t="s">
        <v>6</v>
      </c>
      <c r="B5" s="86"/>
      <c r="C5" s="88" t="s">
        <v>30</v>
      </c>
      <c r="D5" s="88" t="s">
        <v>31</v>
      </c>
      <c r="E5" s="88" t="s">
        <v>32</v>
      </c>
      <c r="F5" s="88" t="s">
        <v>33</v>
      </c>
      <c r="G5" s="88" t="s">
        <v>34</v>
      </c>
      <c r="H5" s="88" t="s">
        <v>35</v>
      </c>
      <c r="I5" s="88" t="s">
        <v>36</v>
      </c>
      <c r="J5" s="88" t="s">
        <v>37</v>
      </c>
      <c r="K5" s="88" t="s">
        <v>38</v>
      </c>
      <c r="L5" s="88" t="s">
        <v>39</v>
      </c>
      <c r="M5" s="88" t="s">
        <v>40</v>
      </c>
      <c r="N5" s="154"/>
      <c r="P5" s="23"/>
      <c r="Q5" s="34"/>
      <c r="R5" s="23"/>
    </row>
    <row r="6" spans="1:26" ht="15.5">
      <c r="A6" s="74"/>
      <c r="B6" s="74"/>
      <c r="J6" s="35"/>
      <c r="K6" s="35"/>
      <c r="L6" s="35"/>
      <c r="M6" s="35"/>
      <c r="N6" s="151"/>
    </row>
    <row r="7" spans="1:26" ht="15.5">
      <c r="A7" s="29" t="s">
        <v>1177</v>
      </c>
      <c r="B7" s="30" t="s">
        <v>457</v>
      </c>
      <c r="C7" s="121">
        <v>3.22</v>
      </c>
      <c r="D7" s="24">
        <v>115.72234000000002</v>
      </c>
      <c r="E7" s="25">
        <f>C7/D7</f>
        <v>2.7825223720847676E-2</v>
      </c>
      <c r="F7" s="26">
        <f>IFERROR(E7*(1+0.5*J7),"")</f>
        <v>2.881765670022458E-2</v>
      </c>
      <c r="G7" s="36">
        <v>7.0000000000000007E-2</v>
      </c>
      <c r="H7" s="36">
        <v>7.400000000000001E-2</v>
      </c>
      <c r="I7" s="36">
        <v>7.0000000000000007E-2</v>
      </c>
      <c r="J7" s="38">
        <f>AVERAGE(G7:I7)</f>
        <v>7.1333333333333346E-2</v>
      </c>
      <c r="K7" s="26">
        <f>$E7*(1+0.5*MIN($G7:$I7))+MIN($G7:$I7)</f>
        <v>9.8799106551077348E-2</v>
      </c>
      <c r="L7" s="26">
        <f>J7+F7</f>
        <v>0.10015099003355793</v>
      </c>
      <c r="M7" s="26">
        <f>$E7*(1+0.5*MAX($G7:$I7))+MAX($G7:$I7)</f>
        <v>0.10285475699851905</v>
      </c>
      <c r="N7" s="26"/>
      <c r="P7" s="3"/>
      <c r="Q7" s="3"/>
      <c r="R7" s="3"/>
      <c r="S7" s="3"/>
      <c r="T7" s="3"/>
      <c r="U7" s="3"/>
      <c r="V7" s="3"/>
      <c r="W7" s="3"/>
      <c r="X7" s="3"/>
      <c r="Y7" s="3"/>
      <c r="Z7" s="3"/>
    </row>
    <row r="8" spans="1:26" ht="14.15" customHeight="1">
      <c r="A8" s="22" t="s">
        <v>1178</v>
      </c>
      <c r="B8" s="23" t="s">
        <v>550</v>
      </c>
      <c r="C8" s="121">
        <v>1.06</v>
      </c>
      <c r="D8" s="24">
        <v>28.544333333333334</v>
      </c>
      <c r="E8" s="25">
        <f t="shared" ref="E8:E11" si="0">C8/D8</f>
        <v>3.7135216563707919E-2</v>
      </c>
      <c r="F8" s="26">
        <f t="shared" ref="F8:F11" si="1">IFERROR(E8*(1+0.5*J8),"")</f>
        <v>3.8552543995889442E-2</v>
      </c>
      <c r="G8" s="40">
        <v>9.5000000000000001E-2</v>
      </c>
      <c r="H8" s="40">
        <v>7.400000000000001E-2</v>
      </c>
      <c r="I8" s="40">
        <v>0.06</v>
      </c>
      <c r="J8" s="38">
        <f t="shared" ref="J8:J11" si="2">AVERAGE(G8:I8)</f>
        <v>7.6333333333333336E-2</v>
      </c>
      <c r="K8" s="26">
        <f t="shared" ref="K8:K10" si="3">$E8*(1+0.5*MIN($G8:$I8))+MIN($G8:$I8)</f>
        <v>9.8249273060619147E-2</v>
      </c>
      <c r="L8" s="26">
        <f t="shared" ref="L8:L10" si="4">J8+F8</f>
        <v>0.11488587732922279</v>
      </c>
      <c r="M8" s="26">
        <f t="shared" ref="M8:M10" si="5">$E8*(1+0.5*MAX($G8:$I8))+MAX($G8:$I8)</f>
        <v>0.13389913935048406</v>
      </c>
      <c r="N8" s="26"/>
      <c r="P8" s="3"/>
      <c r="Q8" s="3"/>
      <c r="R8" s="3"/>
      <c r="S8" s="3"/>
      <c r="T8" s="3"/>
      <c r="U8" s="3"/>
      <c r="V8" s="3"/>
      <c r="W8" s="3"/>
      <c r="X8" s="3"/>
      <c r="Y8" s="3"/>
      <c r="Z8" s="3"/>
    </row>
    <row r="9" spans="1:26" ht="14.15" customHeight="1">
      <c r="A9" s="22" t="s">
        <v>1179</v>
      </c>
      <c r="B9" s="23" t="s">
        <v>1180</v>
      </c>
      <c r="C9" s="121">
        <v>1.95</v>
      </c>
      <c r="D9" s="24">
        <v>36.402333333333331</v>
      </c>
      <c r="E9" s="25">
        <f t="shared" si="0"/>
        <v>5.3567994725612827E-2</v>
      </c>
      <c r="F9" s="26">
        <f t="shared" si="1"/>
        <v>5.4813450602983323E-2</v>
      </c>
      <c r="G9" s="40">
        <v>6.5000000000000002E-2</v>
      </c>
      <c r="H9" s="40">
        <v>2.7999999999999997E-2</v>
      </c>
      <c r="I9" s="40" t="s">
        <v>1234</v>
      </c>
      <c r="J9" s="38">
        <f t="shared" si="2"/>
        <v>4.65E-2</v>
      </c>
      <c r="K9" s="26">
        <f>$E9*(1+0.5*MIN($G9:$I9))+MIN($G9:$I9)</f>
        <v>8.2317946651771404E-2</v>
      </c>
      <c r="L9" s="26">
        <f t="shared" si="4"/>
        <v>0.10131345060298333</v>
      </c>
      <c r="M9" s="26">
        <f t="shared" si="5"/>
        <v>0.12030895455419524</v>
      </c>
      <c r="N9" s="26"/>
      <c r="P9" s="3"/>
      <c r="Q9" s="3"/>
      <c r="R9" s="3"/>
      <c r="S9" s="3"/>
      <c r="T9" s="3"/>
      <c r="U9" s="3"/>
      <c r="V9" s="3"/>
      <c r="W9" s="3"/>
      <c r="X9" s="3"/>
      <c r="Y9" s="3"/>
      <c r="Z9" s="3"/>
    </row>
    <row r="10" spans="1:26" ht="14.15" customHeight="1">
      <c r="A10" s="22" t="s">
        <v>1181</v>
      </c>
      <c r="B10" s="23" t="s">
        <v>1182</v>
      </c>
      <c r="C10" s="121">
        <v>2.64</v>
      </c>
      <c r="D10" s="24">
        <v>61.414333333333317</v>
      </c>
      <c r="E10" s="25">
        <f t="shared" si="0"/>
        <v>4.2986707771801386E-2</v>
      </c>
      <c r="F10" s="26">
        <f t="shared" si="1"/>
        <v>4.3953908696666918E-2</v>
      </c>
      <c r="G10" s="40">
        <v>3.5000000000000003E-2</v>
      </c>
      <c r="H10" s="40">
        <v>0.05</v>
      </c>
      <c r="I10" s="40">
        <v>0.05</v>
      </c>
      <c r="J10" s="38">
        <f t="shared" si="2"/>
        <v>4.5000000000000005E-2</v>
      </c>
      <c r="K10" s="26">
        <f t="shared" si="3"/>
        <v>7.8738975157807922E-2</v>
      </c>
      <c r="L10" s="26">
        <f t="shared" si="4"/>
        <v>8.8953908696666917E-2</v>
      </c>
      <c r="M10" s="26">
        <f t="shared" si="5"/>
        <v>9.4061375466096414E-2</v>
      </c>
      <c r="N10" s="26"/>
      <c r="P10" s="3"/>
      <c r="Q10" s="3"/>
      <c r="R10" s="3"/>
      <c r="S10" s="3"/>
      <c r="T10" s="3"/>
      <c r="U10" s="3"/>
      <c r="V10" s="3"/>
      <c r="W10" s="3"/>
      <c r="X10" s="3"/>
      <c r="Y10" s="3"/>
      <c r="Z10" s="3"/>
    </row>
    <row r="11" spans="1:26" ht="15.5">
      <c r="A11" s="27" t="s">
        <v>1183</v>
      </c>
      <c r="B11" s="28" t="s">
        <v>1184</v>
      </c>
      <c r="C11" s="122">
        <v>3.02</v>
      </c>
      <c r="D11" s="122">
        <v>59.656410000000001</v>
      </c>
      <c r="E11" s="123">
        <f t="shared" si="0"/>
        <v>5.0623227244146939E-2</v>
      </c>
      <c r="F11" s="39">
        <f t="shared" si="1"/>
        <v>5.1961367884300558E-2</v>
      </c>
      <c r="G11" s="39">
        <v>4.4999999999999998E-2</v>
      </c>
      <c r="H11" s="124">
        <v>6.3600000000000004E-2</v>
      </c>
      <c r="I11" s="124">
        <v>0.05</v>
      </c>
      <c r="J11" s="77">
        <f t="shared" si="2"/>
        <v>5.2866666666666673E-2</v>
      </c>
      <c r="K11" s="39">
        <f t="shared" ref="K11" si="6">$E11*(1+0.5*MIN($G11:$I11))+MIN($G11:$I11)</f>
        <v>9.6762249857140242E-2</v>
      </c>
      <c r="L11" s="39">
        <f>J11+F11</f>
        <v>0.10482803455096723</v>
      </c>
      <c r="M11" s="39">
        <f t="shared" ref="M11" si="7">$E11*(1+0.5*MAX($G11:$I11))+MAX($G11:$I11)</f>
        <v>0.11583304587051083</v>
      </c>
      <c r="N11" s="26"/>
      <c r="P11" s="3"/>
      <c r="Q11" s="3"/>
      <c r="R11" s="3"/>
      <c r="S11" s="3"/>
      <c r="T11" s="3"/>
      <c r="U11" s="3"/>
      <c r="V11" s="3"/>
      <c r="W11" s="3"/>
      <c r="X11" s="3"/>
      <c r="Y11" s="3"/>
      <c r="Z11" s="3"/>
    </row>
    <row r="12" spans="1:26" ht="6" customHeight="1"/>
    <row r="13" spans="1:26" ht="15.5">
      <c r="A13" s="125" t="s">
        <v>41</v>
      </c>
      <c r="K13" s="38">
        <f>AVERAGE(K7:K11)</f>
        <v>9.0973510255683204E-2</v>
      </c>
      <c r="L13" s="38">
        <f>AVERAGE(L7:L11)</f>
        <v>0.10202645224267966</v>
      </c>
      <c r="M13" s="38">
        <f>AVERAGE(M7:M11)</f>
        <v>0.1133914544479611</v>
      </c>
      <c r="N13" s="38"/>
      <c r="T13" s="38"/>
    </row>
    <row r="14" spans="1:26" ht="15.5">
      <c r="A14" s="125" t="s">
        <v>42</v>
      </c>
      <c r="C14" s="159"/>
      <c r="D14" s="159"/>
      <c r="E14" s="159"/>
      <c r="F14" s="159"/>
      <c r="G14" s="159"/>
      <c r="H14" s="159"/>
      <c r="I14" s="159"/>
      <c r="K14" s="38">
        <f>MEDIAN(K7:K11)</f>
        <v>9.6762249857140242E-2</v>
      </c>
      <c r="L14" s="38">
        <f t="shared" ref="L14:M14" si="8">MEDIAN(L7:L11)</f>
        <v>0.10131345060298333</v>
      </c>
      <c r="M14" s="38">
        <f t="shared" si="8"/>
        <v>0.11583304587051083</v>
      </c>
      <c r="N14" s="38"/>
      <c r="T14" s="38"/>
    </row>
    <row r="15" spans="1:26" ht="6" customHeight="1" thickBot="1">
      <c r="A15" s="127"/>
      <c r="B15" s="82"/>
      <c r="C15" s="128"/>
      <c r="D15" s="128"/>
      <c r="E15" s="128"/>
      <c r="F15" s="128"/>
      <c r="G15" s="128"/>
      <c r="H15" s="128"/>
      <c r="I15" s="128"/>
      <c r="J15" s="82"/>
      <c r="K15" s="129"/>
      <c r="L15" s="129"/>
      <c r="M15" s="129"/>
      <c r="N15" s="38"/>
      <c r="T15" s="38"/>
    </row>
    <row r="16" spans="1:26" ht="15.5">
      <c r="J16" s="35"/>
      <c r="K16" s="35"/>
      <c r="L16" s="35"/>
      <c r="M16" s="35"/>
      <c r="N16" s="151"/>
    </row>
    <row r="17" spans="1:17" ht="15.5">
      <c r="A17" s="117" t="s">
        <v>15</v>
      </c>
      <c r="J17" s="35"/>
      <c r="K17" s="35"/>
      <c r="L17" s="35"/>
      <c r="M17" s="35"/>
      <c r="N17" s="151"/>
    </row>
    <row r="18" spans="1:17" ht="15.5">
      <c r="A18" s="18" t="str">
        <f>"[1] Bloomberg Professional as of "&amp;TEXT(A1,"mmmm d yyyy")</f>
        <v>[1] Bloomberg Professional as of June 30 2024</v>
      </c>
      <c r="J18" s="35"/>
      <c r="K18" s="35"/>
      <c r="L18" s="35"/>
      <c r="M18" s="35"/>
      <c r="N18" s="151"/>
    </row>
    <row r="19" spans="1:17" ht="15.5">
      <c r="A19" s="18" t="str">
        <f>"[2] Bloomberg Professional 30-day average as of "&amp;TEXT(A1,"mmmm d yyyy")</f>
        <v>[2] Bloomberg Professional 30-day average as of June 30 2024</v>
      </c>
      <c r="J19" s="35"/>
      <c r="K19" s="35"/>
      <c r="L19" s="35"/>
      <c r="M19" s="35"/>
      <c r="N19" s="151"/>
    </row>
    <row r="20" spans="1:17" ht="15.5">
      <c r="A20" s="18" t="s">
        <v>43</v>
      </c>
    </row>
    <row r="21" spans="1:17" ht="15.5">
      <c r="A21" s="18" t="s">
        <v>44</v>
      </c>
    </row>
    <row r="22" spans="1:17" ht="15.5">
      <c r="A22" s="18" t="s">
        <v>1186</v>
      </c>
    </row>
    <row r="23" spans="1:17" ht="15.5">
      <c r="A23" s="18" t="s">
        <v>45</v>
      </c>
    </row>
    <row r="24" spans="1:17" ht="15.5">
      <c r="A24" s="18" t="s">
        <v>46</v>
      </c>
    </row>
    <row r="25" spans="1:17" ht="15.5">
      <c r="A25" s="18" t="s">
        <v>47</v>
      </c>
    </row>
    <row r="26" spans="1:17" ht="15.5">
      <c r="A26" s="18" t="s">
        <v>48</v>
      </c>
    </row>
    <row r="27" spans="1:17" ht="15.5">
      <c r="A27" s="18" t="s">
        <v>49</v>
      </c>
    </row>
    <row r="28" spans="1:17" ht="15.5">
      <c r="A28" s="18" t="s">
        <v>50</v>
      </c>
    </row>
    <row r="29" spans="1:17" ht="15" customHeight="1">
      <c r="N29" s="126"/>
      <c r="O29" s="126"/>
      <c r="P29" s="126"/>
      <c r="Q29" s="126"/>
    </row>
    <row r="30" spans="1:17" ht="15" customHeight="1">
      <c r="N30" s="126"/>
      <c r="O30" s="126"/>
      <c r="P30" s="126"/>
      <c r="Q30" s="126"/>
    </row>
    <row r="31" spans="1:17" ht="15.5">
      <c r="A31" s="69"/>
      <c r="N31" s="126"/>
      <c r="O31" s="126"/>
      <c r="P31" s="126"/>
      <c r="Q31" s="126"/>
    </row>
    <row r="32" spans="1:17" ht="15.5">
      <c r="A32" s="532" t="s">
        <v>51</v>
      </c>
      <c r="B32" s="532"/>
      <c r="C32" s="532"/>
      <c r="D32" s="532"/>
      <c r="E32" s="532"/>
      <c r="F32" s="532"/>
      <c r="G32" s="532"/>
      <c r="H32" s="532"/>
      <c r="I32" s="532"/>
      <c r="J32" s="532"/>
      <c r="K32" s="532"/>
      <c r="L32" s="532"/>
      <c r="M32" s="532"/>
      <c r="N32" s="156"/>
      <c r="O32" s="126"/>
      <c r="P32" s="126"/>
      <c r="Q32" s="126"/>
    </row>
    <row r="33" spans="1:26" ht="15.5">
      <c r="G33" s="531"/>
      <c r="H33" s="531"/>
      <c r="I33" s="531"/>
      <c r="K33" s="176"/>
      <c r="L33" s="176"/>
      <c r="M33" s="176"/>
      <c r="N33" s="152"/>
      <c r="O33" s="150"/>
      <c r="P33" s="150"/>
      <c r="Q33" s="150"/>
    </row>
    <row r="34" spans="1:26" ht="16" thickBot="1">
      <c r="C34" s="119">
        <v>1</v>
      </c>
      <c r="D34" s="119">
        <v>2</v>
      </c>
      <c r="E34" s="119">
        <v>3</v>
      </c>
      <c r="F34" s="119">
        <v>4</v>
      </c>
      <c r="G34" s="119">
        <v>5</v>
      </c>
      <c r="H34" s="119">
        <v>6</v>
      </c>
      <c r="I34" s="119">
        <v>7</v>
      </c>
      <c r="J34" s="119">
        <v>8</v>
      </c>
      <c r="K34" s="119">
        <v>9</v>
      </c>
      <c r="L34" s="119">
        <v>10</v>
      </c>
      <c r="M34" s="155">
        <v>11</v>
      </c>
      <c r="N34" s="157"/>
      <c r="O34" s="157"/>
      <c r="P34" s="157"/>
      <c r="Q34" s="157"/>
    </row>
    <row r="35" spans="1:26" ht="77.5" customHeight="1">
      <c r="A35" s="120" t="s">
        <v>6</v>
      </c>
      <c r="B35" s="86"/>
      <c r="C35" s="88" t="s">
        <v>30</v>
      </c>
      <c r="D35" s="88" t="s">
        <v>31</v>
      </c>
      <c r="E35" s="88" t="s">
        <v>32</v>
      </c>
      <c r="F35" s="88" t="s">
        <v>33</v>
      </c>
      <c r="G35" s="88" t="str">
        <f t="shared" ref="G35:M35" si="9">G5</f>
        <v>Value Line Projected EPS Growth Rate</v>
      </c>
      <c r="H35" s="88" t="str">
        <f t="shared" si="9"/>
        <v>Yahoo! Finance Projected EPS Growth Rate</v>
      </c>
      <c r="I35" s="88" t="str">
        <f t="shared" si="9"/>
        <v>Zacks Projected EPS Growth Rate</v>
      </c>
      <c r="J35" s="88" t="str">
        <f t="shared" si="9"/>
        <v>Average Projected EPS Growth Rate</v>
      </c>
      <c r="K35" s="88" t="str">
        <f t="shared" si="9"/>
        <v>Cost of Equity:  Minimum Growth Rate</v>
      </c>
      <c r="L35" s="88" t="str">
        <f t="shared" si="9"/>
        <v>Cost of Equity:  Mean Growth Rate</v>
      </c>
      <c r="M35" s="88" t="str">
        <f t="shared" si="9"/>
        <v>Cost of Equity:  Maximum Growth Rate</v>
      </c>
      <c r="N35" s="154"/>
      <c r="O35" s="158"/>
      <c r="P35" s="158"/>
      <c r="Q35" s="158"/>
    </row>
    <row r="36" spans="1:26" ht="15.5">
      <c r="A36" s="74"/>
      <c r="B36" s="74"/>
      <c r="J36" s="35"/>
      <c r="K36" s="35"/>
      <c r="L36" s="35"/>
      <c r="M36" s="35"/>
      <c r="N36" s="152"/>
      <c r="O36" s="126"/>
      <c r="P36" s="126"/>
      <c r="Q36" s="126"/>
    </row>
    <row r="37" spans="1:26" ht="15.5">
      <c r="A37" s="29" t="s">
        <v>1177</v>
      </c>
      <c r="B37" s="30" t="s">
        <v>457</v>
      </c>
      <c r="C37" s="121">
        <v>3.22</v>
      </c>
      <c r="D37" s="24">
        <v>115.48936555555557</v>
      </c>
      <c r="E37" s="104">
        <f>C37/D37</f>
        <v>2.7881355001911721E-2</v>
      </c>
      <c r="F37" s="26">
        <f>IFERROR(E37*(1+0.5*J37),"")</f>
        <v>2.8875789996979907E-2</v>
      </c>
      <c r="G37" s="36">
        <f>G7</f>
        <v>7.0000000000000007E-2</v>
      </c>
      <c r="H37" s="36">
        <f t="shared" ref="H37:I37" si="10">H7</f>
        <v>7.400000000000001E-2</v>
      </c>
      <c r="I37" s="36">
        <f t="shared" si="10"/>
        <v>7.0000000000000007E-2</v>
      </c>
      <c r="J37" s="130">
        <f>AVERAGE(G37:I37)</f>
        <v>7.1333333333333346E-2</v>
      </c>
      <c r="K37" s="36">
        <f>$E37*(1+0.5*MIN($G37:$I37))+MIN($G37:$I37)</f>
        <v>9.8857202426978638E-2</v>
      </c>
      <c r="L37" s="36">
        <f>J37+F37</f>
        <v>0.10020912333031326</v>
      </c>
      <c r="M37" s="36">
        <f>$E37*(1+0.5*MAX($G37:$I37))+MAX($G37:$I37)</f>
        <v>0.10291296513698246</v>
      </c>
      <c r="N37" s="26"/>
      <c r="O37" s="26"/>
      <c r="P37" s="26"/>
      <c r="Q37" s="26"/>
      <c r="R37" s="3"/>
      <c r="S37" s="3"/>
      <c r="T37" s="3"/>
      <c r="U37" s="3"/>
      <c r="V37" s="3"/>
      <c r="W37" s="3"/>
      <c r="X37" s="3"/>
      <c r="Y37" s="3"/>
      <c r="Z37" s="3"/>
    </row>
    <row r="38" spans="1:26" ht="15.5">
      <c r="A38" s="22" t="s">
        <v>1178</v>
      </c>
      <c r="B38" s="23" t="s">
        <v>550</v>
      </c>
      <c r="C38" s="121">
        <v>1.06</v>
      </c>
      <c r="D38" s="24">
        <v>27.605546666666658</v>
      </c>
      <c r="E38" s="104">
        <f>C38/D38</f>
        <v>3.8398080385777557E-2</v>
      </c>
      <c r="F38" s="26">
        <f t="shared" ref="F38:F41" si="11">IFERROR(E38*(1+0.5*J38),"")</f>
        <v>3.9863607120501403E-2</v>
      </c>
      <c r="G38" s="36">
        <f t="shared" ref="G38:I38" si="12">G8</f>
        <v>9.5000000000000001E-2</v>
      </c>
      <c r="H38" s="36">
        <f t="shared" si="12"/>
        <v>7.400000000000001E-2</v>
      </c>
      <c r="I38" s="36">
        <f t="shared" si="12"/>
        <v>0.06</v>
      </c>
      <c r="J38" s="130">
        <f t="shared" ref="J38:J41" si="13">AVERAGE(G38:I38)</f>
        <v>7.6333333333333336E-2</v>
      </c>
      <c r="K38" s="36">
        <f t="shared" ref="K38:K41" si="14">$E38*(1+0.5*MIN($G38:$I38))+MIN($G38:$I38)</f>
        <v>9.9550022797350882E-2</v>
      </c>
      <c r="L38" s="36">
        <f t="shared" ref="L38:L40" si="15">J38+F38</f>
        <v>0.11619694045383475</v>
      </c>
      <c r="M38" s="36">
        <f t="shared" ref="M38:M41" si="16">$E38*(1+0.5*MAX($G38:$I38))+MAX($G38:$I38)</f>
        <v>0.135221989204102</v>
      </c>
      <c r="N38" s="26"/>
      <c r="O38" s="26"/>
      <c r="P38" s="26"/>
      <c r="Q38" s="26"/>
      <c r="R38" s="3"/>
      <c r="S38" s="3"/>
      <c r="T38" s="3"/>
      <c r="U38" s="3"/>
      <c r="V38" s="3"/>
      <c r="W38" s="3"/>
      <c r="X38" s="3"/>
      <c r="Y38" s="3"/>
      <c r="Z38" s="3"/>
    </row>
    <row r="39" spans="1:26" ht="15.5">
      <c r="A39" s="22" t="s">
        <v>1179</v>
      </c>
      <c r="B39" s="23" t="s">
        <v>1180</v>
      </c>
      <c r="C39" s="121">
        <v>1.95</v>
      </c>
      <c r="D39" s="24">
        <v>36.723489999999998</v>
      </c>
      <c r="E39" s="104">
        <f>C39/D39</f>
        <v>5.3099528394496276E-2</v>
      </c>
      <c r="F39" s="26">
        <f t="shared" si="11"/>
        <v>5.4334092429668315E-2</v>
      </c>
      <c r="G39" s="36">
        <f t="shared" ref="G39:I39" si="17">G9</f>
        <v>6.5000000000000002E-2</v>
      </c>
      <c r="H39" s="36">
        <f t="shared" si="17"/>
        <v>2.7999999999999997E-2</v>
      </c>
      <c r="I39" s="36" t="str">
        <f t="shared" si="17"/>
        <v>n/a</v>
      </c>
      <c r="J39" s="130">
        <f t="shared" si="13"/>
        <v>4.65E-2</v>
      </c>
      <c r="K39" s="36">
        <f t="shared" si="14"/>
        <v>8.1842921792019213E-2</v>
      </c>
      <c r="L39" s="36">
        <f t="shared" si="15"/>
        <v>0.10083409242966831</v>
      </c>
      <c r="M39" s="36">
        <f t="shared" si="16"/>
        <v>0.1198252630673174</v>
      </c>
      <c r="N39" s="26"/>
      <c r="O39" s="26"/>
      <c r="P39" s="26"/>
      <c r="Q39" s="26"/>
      <c r="R39" s="3"/>
      <c r="S39" s="3"/>
      <c r="T39" s="3"/>
      <c r="U39" s="3"/>
      <c r="V39" s="3"/>
      <c r="W39" s="3"/>
      <c r="X39" s="3"/>
      <c r="Y39" s="3"/>
      <c r="Z39" s="3"/>
    </row>
    <row r="40" spans="1:26" ht="15.5">
      <c r="A40" s="22" t="s">
        <v>1181</v>
      </c>
      <c r="B40" s="23" t="s">
        <v>1182</v>
      </c>
      <c r="C40" s="121">
        <v>2.64</v>
      </c>
      <c r="D40" s="24">
        <v>61.930858888888878</v>
      </c>
      <c r="E40" s="104">
        <f>C40/D40</f>
        <v>4.2628183225045614E-2</v>
      </c>
      <c r="F40" s="26">
        <f t="shared" si="11"/>
        <v>4.3587317347609136E-2</v>
      </c>
      <c r="G40" s="36">
        <f t="shared" ref="G40:I40" si="18">G10</f>
        <v>3.5000000000000003E-2</v>
      </c>
      <c r="H40" s="36">
        <f t="shared" si="18"/>
        <v>0.05</v>
      </c>
      <c r="I40" s="36">
        <f t="shared" si="18"/>
        <v>0.05</v>
      </c>
      <c r="J40" s="130">
        <f t="shared" si="13"/>
        <v>4.5000000000000005E-2</v>
      </c>
      <c r="K40" s="36">
        <f t="shared" si="14"/>
        <v>7.8374176431483922E-2</v>
      </c>
      <c r="L40" s="36">
        <f t="shared" si="15"/>
        <v>8.8587317347609135E-2</v>
      </c>
      <c r="M40" s="36">
        <f t="shared" si="16"/>
        <v>9.3693887805671755E-2</v>
      </c>
      <c r="N40" s="26"/>
      <c r="O40" s="26"/>
      <c r="P40" s="26"/>
      <c r="Q40" s="26"/>
      <c r="R40" s="3"/>
      <c r="S40" s="3"/>
      <c r="T40" s="3"/>
      <c r="U40" s="3"/>
      <c r="V40" s="3"/>
      <c r="W40" s="3"/>
      <c r="X40" s="3"/>
      <c r="Y40" s="3"/>
      <c r="Z40" s="3"/>
    </row>
    <row r="41" spans="1:26" ht="15.5">
      <c r="A41" s="27" t="s">
        <v>1183</v>
      </c>
      <c r="B41" s="28" t="s">
        <v>1184</v>
      </c>
      <c r="C41" s="122">
        <v>3.02</v>
      </c>
      <c r="D41" s="122">
        <v>59.530470000000022</v>
      </c>
      <c r="E41" s="123">
        <f>C41/D41</f>
        <v>5.0730323479723893E-2</v>
      </c>
      <c r="F41" s="39">
        <f t="shared" si="11"/>
        <v>5.2071295030371258E-2</v>
      </c>
      <c r="G41" s="39">
        <f t="shared" ref="G41:I41" si="19">G11</f>
        <v>4.4999999999999998E-2</v>
      </c>
      <c r="H41" s="39">
        <f t="shared" si="19"/>
        <v>6.3600000000000004E-2</v>
      </c>
      <c r="I41" s="39">
        <f t="shared" si="19"/>
        <v>0.05</v>
      </c>
      <c r="J41" s="77">
        <f t="shared" si="13"/>
        <v>5.2866666666666673E-2</v>
      </c>
      <c r="K41" s="39">
        <f t="shared" si="14"/>
        <v>9.687175575801768E-2</v>
      </c>
      <c r="L41" s="39">
        <f t="shared" ref="L41" si="20">J41+F41</f>
        <v>0.10493796169703792</v>
      </c>
      <c r="M41" s="39">
        <f t="shared" si="16"/>
        <v>0.11594354776637912</v>
      </c>
      <c r="N41" s="26"/>
      <c r="O41" s="26"/>
      <c r="P41" s="26"/>
      <c r="Q41" s="26"/>
      <c r="R41" s="3"/>
      <c r="S41" s="3"/>
      <c r="T41" s="3"/>
      <c r="U41" s="3"/>
      <c r="V41" s="3"/>
      <c r="W41" s="3"/>
      <c r="X41" s="3"/>
      <c r="Y41" s="3"/>
      <c r="Z41" s="3"/>
    </row>
    <row r="42" spans="1:26" ht="6" customHeight="1">
      <c r="N42" s="126"/>
      <c r="O42" s="126"/>
      <c r="P42" s="126"/>
      <c r="Q42" s="126"/>
    </row>
    <row r="43" spans="1:26" ht="15.5">
      <c r="A43" s="125" t="s">
        <v>41</v>
      </c>
      <c r="K43" s="38">
        <f>AVERAGE(K37:K41)</f>
        <v>9.1099215841170061E-2</v>
      </c>
      <c r="L43" s="38">
        <f>AVERAGE(L37:L41)</f>
        <v>0.10215308705169268</v>
      </c>
      <c r="M43" s="38">
        <f>AVERAGE(M37:M41)</f>
        <v>0.11351953059609055</v>
      </c>
      <c r="N43" s="38"/>
      <c r="O43" s="38"/>
      <c r="P43" s="38"/>
      <c r="Q43" s="38"/>
    </row>
    <row r="44" spans="1:26" ht="15.5">
      <c r="A44" s="125" t="s">
        <v>42</v>
      </c>
      <c r="C44" s="159"/>
      <c r="D44" s="159"/>
      <c r="E44" s="159"/>
      <c r="F44" s="159"/>
      <c r="G44" s="159"/>
      <c r="H44" s="159"/>
      <c r="I44" s="159"/>
      <c r="K44" s="38">
        <f>MEDIAN(K37:K41)</f>
        <v>9.687175575801768E-2</v>
      </c>
      <c r="L44" s="38">
        <f t="shared" ref="L44:M44" si="21">MEDIAN(L37:L41)</f>
        <v>0.10083409242966831</v>
      </c>
      <c r="M44" s="38">
        <f t="shared" si="21"/>
        <v>0.11594354776637912</v>
      </c>
      <c r="N44" s="38"/>
      <c r="O44" s="38"/>
      <c r="P44" s="38"/>
      <c r="Q44" s="38"/>
    </row>
    <row r="45" spans="1:26" ht="6" customHeight="1" thickBot="1">
      <c r="A45" s="127"/>
      <c r="B45" s="82"/>
      <c r="C45" s="128"/>
      <c r="D45" s="128"/>
      <c r="E45" s="129"/>
      <c r="F45" s="129"/>
      <c r="G45" s="129"/>
      <c r="H45" s="129"/>
      <c r="I45" s="129"/>
      <c r="J45" s="129"/>
      <c r="K45" s="129"/>
      <c r="L45" s="129"/>
      <c r="M45" s="129"/>
      <c r="N45" s="38"/>
      <c r="O45" s="126"/>
      <c r="P45" s="126"/>
      <c r="Q45" s="126"/>
    </row>
    <row r="46" spans="1:26" ht="15" customHeight="1">
      <c r="N46" s="126"/>
      <c r="O46" s="126"/>
      <c r="P46" s="126"/>
      <c r="Q46" s="126"/>
    </row>
    <row r="47" spans="1:26" ht="15.5">
      <c r="A47" s="117" t="s">
        <v>15</v>
      </c>
      <c r="N47" s="126"/>
      <c r="O47" s="126"/>
      <c r="P47" s="126"/>
      <c r="Q47" s="126"/>
    </row>
    <row r="48" spans="1:26" ht="15.5">
      <c r="A48" s="18" t="str">
        <f>A18</f>
        <v>[1] Bloomberg Professional as of June 30 2024</v>
      </c>
    </row>
    <row r="49" spans="1:14" ht="15.5">
      <c r="A49" s="18" t="str">
        <f>"[2] Bloomberg Professional 90-day average as of "&amp;TEXT(A1,"mmmm d yyyy")</f>
        <v>[2] Bloomberg Professional 90-day average as of June 30 2024</v>
      </c>
    </row>
    <row r="50" spans="1:14" ht="15.5">
      <c r="A50" s="18" t="str">
        <f t="shared" ref="A50:A58" si="22">A20</f>
        <v>[3] Equals [1]/[2]</v>
      </c>
    </row>
    <row r="51" spans="1:14" ht="15.5">
      <c r="A51" s="18" t="str">
        <f t="shared" si="22"/>
        <v>[4] Equals [3] x (1 + 0.5 x [8])</v>
      </c>
    </row>
    <row r="52" spans="1:14" ht="15.5">
      <c r="A52" s="18" t="str">
        <f t="shared" si="22"/>
        <v>[5] Value Line</v>
      </c>
    </row>
    <row r="53" spans="1:14" ht="15.5">
      <c r="A53" s="18" t="str">
        <f t="shared" si="22"/>
        <v>[6] Yahoo! Finance</v>
      </c>
    </row>
    <row r="54" spans="1:14" ht="15.5">
      <c r="A54" s="18" t="str">
        <f t="shared" si="22"/>
        <v>[7] Zacks</v>
      </c>
    </row>
    <row r="55" spans="1:14" ht="15.5">
      <c r="A55" s="18" t="str">
        <f t="shared" si="22"/>
        <v>[8] Equals average of [5], [6], [7]</v>
      </c>
    </row>
    <row r="56" spans="1:14" ht="15.5">
      <c r="A56" s="18" t="str">
        <f t="shared" si="22"/>
        <v>[9] Equals [3] x (1 + 0.5 x (min([5], [6], [7])) + (min([5], [6], [7])</v>
      </c>
    </row>
    <row r="57" spans="1:14" ht="15.5">
      <c r="A57" s="18" t="str">
        <f t="shared" si="22"/>
        <v>[10] Equals [4] + [8]</v>
      </c>
    </row>
    <row r="58" spans="1:14" ht="15.5">
      <c r="A58" s="18" t="str">
        <f t="shared" si="22"/>
        <v>[11] Equals [3] x (1 + 0.5 x (max([5], [6], [7])) + (max([5], [6], [7])</v>
      </c>
    </row>
    <row r="61" spans="1:14" ht="15.5">
      <c r="A61" s="69"/>
    </row>
    <row r="62" spans="1:14" ht="15.5">
      <c r="A62" s="532" t="s">
        <v>52</v>
      </c>
      <c r="B62" s="532"/>
      <c r="C62" s="532"/>
      <c r="D62" s="532"/>
      <c r="E62" s="532"/>
      <c r="F62" s="532"/>
      <c r="G62" s="532"/>
      <c r="H62" s="532"/>
      <c r="I62" s="532"/>
      <c r="J62" s="532"/>
      <c r="K62" s="532"/>
      <c r="L62" s="532"/>
      <c r="M62" s="532"/>
      <c r="N62" s="153"/>
    </row>
    <row r="63" spans="1:14" ht="15.5">
      <c r="G63" s="531"/>
      <c r="H63" s="531"/>
      <c r="I63" s="531"/>
    </row>
    <row r="64" spans="1:14" ht="16" thickBot="1">
      <c r="C64" s="119">
        <v>1</v>
      </c>
      <c r="D64" s="119">
        <v>2</v>
      </c>
      <c r="E64" s="119">
        <v>3</v>
      </c>
      <c r="F64" s="119">
        <v>4</v>
      </c>
      <c r="G64" s="119">
        <v>5</v>
      </c>
      <c r="H64" s="119">
        <v>6</v>
      </c>
      <c r="I64" s="119">
        <v>7</v>
      </c>
      <c r="J64" s="119">
        <v>8</v>
      </c>
      <c r="K64" s="119">
        <v>9</v>
      </c>
      <c r="L64" s="119">
        <v>10</v>
      </c>
      <c r="M64" s="119">
        <v>11</v>
      </c>
      <c r="N64" s="119"/>
    </row>
    <row r="65" spans="1:26" ht="77.5">
      <c r="A65" s="120" t="s">
        <v>6</v>
      </c>
      <c r="B65" s="86"/>
      <c r="C65" s="88" t="s">
        <v>30</v>
      </c>
      <c r="D65" s="88" t="s">
        <v>31</v>
      </c>
      <c r="E65" s="88" t="s">
        <v>32</v>
      </c>
      <c r="F65" s="88" t="s">
        <v>33</v>
      </c>
      <c r="G65" s="88" t="str">
        <f t="shared" ref="G65:M65" si="23">G5</f>
        <v>Value Line Projected EPS Growth Rate</v>
      </c>
      <c r="H65" s="88" t="str">
        <f t="shared" si="23"/>
        <v>Yahoo! Finance Projected EPS Growth Rate</v>
      </c>
      <c r="I65" s="88" t="str">
        <f t="shared" si="23"/>
        <v>Zacks Projected EPS Growth Rate</v>
      </c>
      <c r="J65" s="88" t="str">
        <f t="shared" si="23"/>
        <v>Average Projected EPS Growth Rate</v>
      </c>
      <c r="K65" s="88" t="str">
        <f t="shared" si="23"/>
        <v>Cost of Equity:  Minimum Growth Rate</v>
      </c>
      <c r="L65" s="88" t="str">
        <f t="shared" si="23"/>
        <v>Cost of Equity:  Mean Growth Rate</v>
      </c>
      <c r="M65" s="88" t="str">
        <f t="shared" si="23"/>
        <v>Cost of Equity:  Maximum Growth Rate</v>
      </c>
      <c r="N65" s="154"/>
    </row>
    <row r="66" spans="1:26" ht="15.5">
      <c r="A66" s="74"/>
      <c r="B66" s="74"/>
      <c r="J66" s="35"/>
      <c r="K66" s="35"/>
      <c r="L66" s="35"/>
      <c r="M66" s="35"/>
      <c r="N66" s="151"/>
    </row>
    <row r="67" spans="1:26" ht="15.5">
      <c r="A67" s="29" t="s">
        <v>1177</v>
      </c>
      <c r="B67" s="30" t="s">
        <v>457</v>
      </c>
      <c r="C67" s="121">
        <v>3.22</v>
      </c>
      <c r="D67" s="24">
        <v>113.36184277777775</v>
      </c>
      <c r="E67" s="104">
        <f>C67/D67</f>
        <v>2.8404619412478488E-2</v>
      </c>
      <c r="F67" s="26">
        <f>IFERROR(E67*(1+0.5*J67),"")</f>
        <v>2.9417717504856888E-2</v>
      </c>
      <c r="G67" s="36">
        <f>G37</f>
        <v>7.0000000000000007E-2</v>
      </c>
      <c r="H67" s="36">
        <f t="shared" ref="H67:I67" si="24">H37</f>
        <v>7.400000000000001E-2</v>
      </c>
      <c r="I67" s="36">
        <f t="shared" si="24"/>
        <v>7.0000000000000007E-2</v>
      </c>
      <c r="J67" s="130">
        <f>AVERAGE(G67:I67)</f>
        <v>7.1333333333333346E-2</v>
      </c>
      <c r="K67" s="36">
        <f>$E67*(1+0.5*MIN($G67:$I67))+MIN($G67:$I67)</f>
        <v>9.9398781091915245E-2</v>
      </c>
      <c r="L67" s="36">
        <f>J67+F67</f>
        <v>0.10075105083819023</v>
      </c>
      <c r="M67" s="36">
        <f>$E67*(1+0.5*MAX($G67:$I67))+MAX($G67:$I67)</f>
        <v>0.1034555903307402</v>
      </c>
      <c r="N67" s="36"/>
      <c r="P67" s="3"/>
      <c r="Q67" s="3"/>
      <c r="R67" s="3"/>
      <c r="S67" s="3"/>
      <c r="T67" s="3"/>
      <c r="U67" s="3"/>
      <c r="V67" s="3"/>
      <c r="W67" s="3"/>
      <c r="X67" s="3"/>
      <c r="Y67" s="3"/>
      <c r="Z67" s="3"/>
    </row>
    <row r="68" spans="1:26" ht="15.5">
      <c r="A68" s="22" t="s">
        <v>1178</v>
      </c>
      <c r="B68" s="23" t="s">
        <v>550</v>
      </c>
      <c r="C68" s="121">
        <v>1.06</v>
      </c>
      <c r="D68" s="24">
        <v>26.511671111111095</v>
      </c>
      <c r="E68" s="104">
        <f>C68/D68</f>
        <v>3.9982390983861894E-2</v>
      </c>
      <c r="F68" s="26">
        <f t="shared" ref="F68" si="25">IFERROR(E68*(1+0.5*J68),"")</f>
        <v>4.1508385573079287E-2</v>
      </c>
      <c r="G68" s="36">
        <f t="shared" ref="G68:I68" si="26">G38</f>
        <v>9.5000000000000001E-2</v>
      </c>
      <c r="H68" s="36">
        <f t="shared" si="26"/>
        <v>7.400000000000001E-2</v>
      </c>
      <c r="I68" s="36">
        <f t="shared" si="26"/>
        <v>0.06</v>
      </c>
      <c r="J68" s="130">
        <f t="shared" ref="J68" si="27">AVERAGE(G68:I68)</f>
        <v>7.6333333333333336E-2</v>
      </c>
      <c r="K68" s="36">
        <f t="shared" ref="K68:K71" si="28">$E68*(1+0.5*MIN($G68:$I68))+MIN($G68:$I68)</f>
        <v>0.10118186271337776</v>
      </c>
      <c r="L68" s="36">
        <f t="shared" ref="L68" si="29">J68+F68</f>
        <v>0.11784171890641262</v>
      </c>
      <c r="M68" s="36">
        <f t="shared" ref="M68:M71" si="30">$E68*(1+0.5*MAX($G68:$I68))+MAX($G68:$I68)</f>
        <v>0.13688155455559534</v>
      </c>
      <c r="N68" s="36"/>
      <c r="P68" s="3"/>
      <c r="Q68" s="3"/>
      <c r="R68" s="3"/>
      <c r="S68" s="3"/>
      <c r="T68" s="3"/>
      <c r="U68" s="3"/>
      <c r="V68" s="3"/>
      <c r="W68" s="3"/>
      <c r="X68" s="3"/>
      <c r="Y68" s="3"/>
      <c r="Z68" s="3"/>
    </row>
    <row r="69" spans="1:26" ht="15.5">
      <c r="A69" s="22" t="s">
        <v>1179</v>
      </c>
      <c r="B69" s="23" t="s">
        <v>1180</v>
      </c>
      <c r="C69" s="121">
        <v>1.95</v>
      </c>
      <c r="D69" s="24">
        <v>36.833509999999976</v>
      </c>
      <c r="E69" s="104">
        <f>C69/D69</f>
        <v>5.2940922545801399E-2</v>
      </c>
      <c r="F69" s="26">
        <f t="shared" ref="F69:F71" si="31">IFERROR(E69*(1+0.5*J69),"")</f>
        <v>5.4171798994991284E-2</v>
      </c>
      <c r="G69" s="36">
        <f t="shared" ref="G69:I69" si="32">G39</f>
        <v>6.5000000000000002E-2</v>
      </c>
      <c r="H69" s="36">
        <f t="shared" si="32"/>
        <v>2.7999999999999997E-2</v>
      </c>
      <c r="I69" s="36" t="str">
        <f t="shared" si="32"/>
        <v>n/a</v>
      </c>
      <c r="J69" s="130">
        <f t="shared" ref="J69:J71" si="33">AVERAGE(G69:I69)</f>
        <v>4.65E-2</v>
      </c>
      <c r="K69" s="36">
        <f t="shared" si="28"/>
        <v>8.1682095461442616E-2</v>
      </c>
      <c r="L69" s="36">
        <f t="shared" ref="L69:L71" si="34">J69+F69</f>
        <v>0.10067179899499129</v>
      </c>
      <c r="M69" s="36">
        <f t="shared" si="30"/>
        <v>0.11966150252853994</v>
      </c>
      <c r="N69" s="36"/>
      <c r="P69" s="3"/>
      <c r="Q69" s="3"/>
      <c r="R69" s="3"/>
      <c r="S69" s="3"/>
      <c r="T69" s="3"/>
      <c r="U69" s="3"/>
      <c r="V69" s="3"/>
      <c r="W69" s="3"/>
      <c r="X69" s="3"/>
      <c r="Y69" s="3"/>
      <c r="Z69" s="3"/>
    </row>
    <row r="70" spans="1:26" ht="15.5">
      <c r="A70" s="22" t="s">
        <v>1181</v>
      </c>
      <c r="B70" s="23" t="s">
        <v>1182</v>
      </c>
      <c r="C70" s="121">
        <v>2.64</v>
      </c>
      <c r="D70" s="24">
        <v>61.279536666666708</v>
      </c>
      <c r="E70" s="104">
        <f>C70/D70</f>
        <v>4.3081265681893459E-2</v>
      </c>
      <c r="F70" s="26">
        <f t="shared" si="31"/>
        <v>4.4050594159736063E-2</v>
      </c>
      <c r="G70" s="36">
        <f t="shared" ref="G70:I70" si="35">G40</f>
        <v>3.5000000000000003E-2</v>
      </c>
      <c r="H70" s="36">
        <f t="shared" si="35"/>
        <v>0.05</v>
      </c>
      <c r="I70" s="36">
        <f t="shared" si="35"/>
        <v>0.05</v>
      </c>
      <c r="J70" s="130">
        <f t="shared" si="33"/>
        <v>4.5000000000000005E-2</v>
      </c>
      <c r="K70" s="36">
        <f t="shared" si="28"/>
        <v>7.8835187831326592E-2</v>
      </c>
      <c r="L70" s="36">
        <f t="shared" si="34"/>
        <v>8.9050594159736068E-2</v>
      </c>
      <c r="M70" s="36">
        <f t="shared" si="30"/>
        <v>9.4158297323940793E-2</v>
      </c>
      <c r="N70" s="36"/>
      <c r="P70" s="3"/>
      <c r="Q70" s="3"/>
      <c r="R70" s="3"/>
      <c r="S70" s="3"/>
      <c r="T70" s="3"/>
      <c r="U70" s="3"/>
      <c r="V70" s="3"/>
      <c r="W70" s="3"/>
      <c r="X70" s="3"/>
      <c r="Y70" s="3"/>
      <c r="Z70" s="3"/>
    </row>
    <row r="71" spans="1:26" ht="15.5">
      <c r="A71" s="27" t="s">
        <v>1183</v>
      </c>
      <c r="B71" s="28" t="s">
        <v>1184</v>
      </c>
      <c r="C71" s="122">
        <v>3.02</v>
      </c>
      <c r="D71" s="122">
        <v>58.818625555555556</v>
      </c>
      <c r="E71" s="123">
        <f>C71/D71</f>
        <v>5.1344280344455519E-2</v>
      </c>
      <c r="F71" s="39">
        <f t="shared" si="31"/>
        <v>5.2701480821560627E-2</v>
      </c>
      <c r="G71" s="39">
        <f t="shared" ref="G71:I71" si="36">G41</f>
        <v>4.4999999999999998E-2</v>
      </c>
      <c r="H71" s="39">
        <f t="shared" si="36"/>
        <v>6.3600000000000004E-2</v>
      </c>
      <c r="I71" s="39">
        <f t="shared" si="36"/>
        <v>0.05</v>
      </c>
      <c r="J71" s="77">
        <f t="shared" si="33"/>
        <v>5.2866666666666673E-2</v>
      </c>
      <c r="K71" s="39">
        <f t="shared" si="28"/>
        <v>9.7499526652205765E-2</v>
      </c>
      <c r="L71" s="39">
        <f t="shared" si="34"/>
        <v>0.10556814748822729</v>
      </c>
      <c r="M71" s="39">
        <f t="shared" si="30"/>
        <v>0.1165770284594092</v>
      </c>
      <c r="N71" s="26"/>
      <c r="P71" s="3"/>
      <c r="Q71" s="3"/>
      <c r="R71" s="3"/>
      <c r="S71" s="3"/>
      <c r="T71" s="3"/>
      <c r="U71" s="3"/>
      <c r="V71" s="3"/>
      <c r="W71" s="3"/>
      <c r="X71" s="3"/>
      <c r="Y71" s="3"/>
      <c r="Z71" s="3"/>
    </row>
    <row r="72" spans="1:26" ht="6" customHeight="1"/>
    <row r="73" spans="1:26" ht="15.5">
      <c r="A73" s="125" t="s">
        <v>41</v>
      </c>
      <c r="K73" s="38">
        <f>AVERAGE(K67:K71)</f>
        <v>9.1719490750053589E-2</v>
      </c>
      <c r="L73" s="38">
        <f>AVERAGE(L67:L71)</f>
        <v>0.1027766620775115</v>
      </c>
      <c r="M73" s="38">
        <f>AVERAGE(M67:M71)</f>
        <v>0.1141467946396451</v>
      </c>
      <c r="N73" s="38"/>
    </row>
    <row r="74" spans="1:26" ht="15.5">
      <c r="A74" s="125" t="s">
        <v>42</v>
      </c>
      <c r="C74" s="159"/>
      <c r="D74" s="159"/>
      <c r="E74" s="159"/>
      <c r="F74" s="159"/>
      <c r="G74" s="159"/>
      <c r="H74" s="159"/>
      <c r="I74" s="159"/>
      <c r="K74" s="38">
        <f>MEDIAN(K67:K71)</f>
        <v>9.7499526652205765E-2</v>
      </c>
      <c r="L74" s="38">
        <f t="shared" ref="L74:M74" si="37">MEDIAN(L67:L71)</f>
        <v>0.10075105083819023</v>
      </c>
      <c r="M74" s="38">
        <f t="shared" si="37"/>
        <v>0.1165770284594092</v>
      </c>
      <c r="N74" s="38"/>
    </row>
    <row r="75" spans="1:26" ht="6" customHeight="1" thickBot="1">
      <c r="A75" s="127"/>
      <c r="B75" s="82"/>
      <c r="C75" s="128"/>
      <c r="D75" s="128"/>
      <c r="E75" s="129"/>
      <c r="F75" s="129"/>
      <c r="G75" s="129"/>
      <c r="H75" s="129"/>
      <c r="I75" s="129"/>
      <c r="J75" s="129"/>
      <c r="K75" s="129"/>
      <c r="L75" s="129"/>
      <c r="M75" s="129"/>
      <c r="N75" s="38"/>
    </row>
    <row r="77" spans="1:26" ht="15.5">
      <c r="A77" s="117" t="s">
        <v>15</v>
      </c>
    </row>
    <row r="78" spans="1:26" ht="15.5">
      <c r="A78" s="18" t="str">
        <f>A18</f>
        <v>[1] Bloomberg Professional as of June 30 2024</v>
      </c>
    </row>
    <row r="79" spans="1:26" ht="15.5">
      <c r="A79" s="18" t="str">
        <f>"[2] Bloomberg Professional 180-day average as of "&amp;TEXT(A1,"mmmm d yyyy")</f>
        <v>[2] Bloomberg Professional 180-day average as of June 30 2024</v>
      </c>
    </row>
    <row r="80" spans="1:26" ht="15.5">
      <c r="A80" s="18" t="str">
        <f>A20</f>
        <v>[3] Equals [1]/[2]</v>
      </c>
    </row>
    <row r="81" spans="1:1" ht="15.5">
      <c r="A81" s="18" t="str">
        <f t="shared" ref="A81:A88" si="38">A21</f>
        <v>[4] Equals [3] x (1 + 0.5 x [8])</v>
      </c>
    </row>
    <row r="82" spans="1:1" ht="15.5">
      <c r="A82" s="18" t="str">
        <f t="shared" si="38"/>
        <v>[5] Value Line</v>
      </c>
    </row>
    <row r="83" spans="1:1" ht="15.5">
      <c r="A83" s="18" t="str">
        <f t="shared" si="38"/>
        <v>[6] Yahoo! Finance</v>
      </c>
    </row>
    <row r="84" spans="1:1" ht="15.5">
      <c r="A84" s="18" t="str">
        <f t="shared" si="38"/>
        <v>[7] Zacks</v>
      </c>
    </row>
    <row r="85" spans="1:1" ht="15.5">
      <c r="A85" s="18" t="str">
        <f t="shared" si="38"/>
        <v>[8] Equals average of [5], [6], [7]</v>
      </c>
    </row>
    <row r="86" spans="1:1" ht="15.5">
      <c r="A86" s="18" t="str">
        <f t="shared" si="38"/>
        <v>[9] Equals [3] x (1 + 0.5 x (min([5], [6], [7])) + (min([5], [6], [7])</v>
      </c>
    </row>
    <row r="87" spans="1:1" ht="15.5">
      <c r="A87" s="18" t="str">
        <f t="shared" si="38"/>
        <v>[10] Equals [4] + [8]</v>
      </c>
    </row>
    <row r="88" spans="1:1" ht="15.5">
      <c r="A88" s="18" t="str">
        <f t="shared" si="38"/>
        <v>[11] Equals [3] x (1 + 0.5 x (max([5], [6], [7])) + (max([5], [6], [7])</v>
      </c>
    </row>
  </sheetData>
  <mergeCells count="8">
    <mergeCell ref="P1:Z1"/>
    <mergeCell ref="P3:R3"/>
    <mergeCell ref="G63:I63"/>
    <mergeCell ref="A2:M2"/>
    <mergeCell ref="G3:I3"/>
    <mergeCell ref="A32:M32"/>
    <mergeCell ref="G33:I33"/>
    <mergeCell ref="A62:M62"/>
  </mergeCells>
  <conditionalFormatting sqref="P1 P2:Z11 R37:Z41 P67:Z71">
    <cfRule type="containsText" dxfId="79" priority="4" operator="containsText" text="FALSE">
      <formula>NOT(ISERROR(SEARCH("FALSE",P1)))</formula>
    </cfRule>
  </conditionalFormatting>
  <conditionalFormatting sqref="P1:Z12 P16:Z32 P36:Z36 R33:Z35 P42:Z42 R37:Z41 R43:Z44 P45:Z1048576 P13:S15 U13:Z15">
    <cfRule type="containsText" dxfId="78" priority="1" operator="containsText" text="TRUE">
      <formula>NOT(ISERROR(SEARCH("TRUE",P1)))</formula>
    </cfRule>
  </conditionalFormatting>
  <printOptions horizontalCentered="1"/>
  <pageMargins left="0.7" right="0.7" top="1.5" bottom="0.75" header="0.3" footer="0.3"/>
  <pageSetup scale="53" orientation="portrait" useFirstPageNumber="1" r:id="rId1"/>
  <headerFooter scaleWithDoc="0">
    <oddHeader>&amp;RDocket No. U-_____ 
Exhibit AEB-4
Page &amp;P of 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autoPageBreaks="0" fitToPage="1"/>
  </sheetPr>
  <dimension ref="A1:L233"/>
  <sheetViews>
    <sheetView showGridLines="0" zoomScaleNormal="100" workbookViewId="0">
      <selection activeCell="N36" sqref="N36"/>
    </sheetView>
  </sheetViews>
  <sheetFormatPr defaultColWidth="8.7265625" defaultRowHeight="15" customHeight="1"/>
  <cols>
    <col min="1" max="1" width="2.54296875" style="21" customWidth="1"/>
    <col min="2" max="2" width="39.81640625" style="21" customWidth="1"/>
    <col min="3" max="3" width="8.7265625" style="21"/>
    <col min="4" max="4" width="18.7265625" style="21" customWidth="1"/>
    <col min="5" max="6" width="8.7265625" style="21"/>
    <col min="7" max="7" width="11.1796875" style="21" customWidth="1"/>
    <col min="8" max="8" width="8.7265625" style="21"/>
    <col min="9" max="9" width="10.81640625" style="21" customWidth="1"/>
    <col min="10" max="10" width="3.81640625" style="21" customWidth="1"/>
    <col min="11" max="16384" width="8.7265625" style="21"/>
  </cols>
  <sheetData>
    <row r="1" spans="1:11" ht="15" customHeight="1">
      <c r="A1" s="179">
        <f>'AEB-4 CGDCF'!A1</f>
        <v>45473</v>
      </c>
      <c r="B1" s="68"/>
      <c r="C1" s="68"/>
      <c r="D1" s="68"/>
      <c r="E1" s="68"/>
      <c r="F1" s="68"/>
      <c r="G1" s="68"/>
      <c r="H1" s="68"/>
      <c r="I1" s="68"/>
    </row>
    <row r="2" spans="1:11" ht="15" customHeight="1">
      <c r="B2" s="534" t="s">
        <v>53</v>
      </c>
      <c r="C2" s="534"/>
      <c r="D2" s="534"/>
      <c r="E2" s="534"/>
      <c r="F2" s="534"/>
      <c r="G2" s="534"/>
      <c r="H2" s="534"/>
      <c r="I2" s="534"/>
      <c r="J2" s="69"/>
    </row>
    <row r="3" spans="1:11" ht="15" customHeight="1">
      <c r="B3" s="534" t="s">
        <v>54</v>
      </c>
      <c r="C3" s="534"/>
      <c r="D3" s="534"/>
      <c r="E3" s="534"/>
      <c r="F3" s="534"/>
      <c r="G3" s="534"/>
      <c r="H3" s="534"/>
      <c r="I3" s="534"/>
      <c r="J3" s="69"/>
    </row>
    <row r="4" spans="1:11" ht="15" customHeight="1">
      <c r="B4" s="140"/>
      <c r="C4" s="140"/>
      <c r="D4" s="140"/>
      <c r="E4" s="140"/>
      <c r="F4" s="140"/>
      <c r="G4" s="70"/>
      <c r="H4" s="140"/>
      <c r="I4" s="140"/>
      <c r="J4" s="69"/>
    </row>
    <row r="5" spans="1:11" ht="15" customHeight="1">
      <c r="B5" s="533" t="s">
        <v>55</v>
      </c>
      <c r="C5" s="533"/>
      <c r="D5" s="533"/>
      <c r="E5" s="533"/>
      <c r="F5" s="533"/>
      <c r="G5" s="533"/>
      <c r="H5" s="533"/>
      <c r="I5" s="533"/>
      <c r="J5" s="69"/>
    </row>
    <row r="6" spans="1:11" ht="15" customHeight="1">
      <c r="B6" s="533" t="s">
        <v>56</v>
      </c>
      <c r="C6" s="533"/>
      <c r="D6" s="533"/>
      <c r="E6" s="533"/>
      <c r="F6" s="533"/>
      <c r="G6" s="533"/>
      <c r="H6" s="533"/>
      <c r="I6" s="533"/>
      <c r="J6" s="69"/>
    </row>
    <row r="7" spans="1:11" ht="15" customHeight="1">
      <c r="B7" s="139"/>
      <c r="C7" s="139"/>
      <c r="D7" s="139"/>
      <c r="E7" s="139"/>
      <c r="F7" s="139"/>
      <c r="G7" s="139"/>
      <c r="H7" s="139"/>
      <c r="I7" s="139"/>
      <c r="J7" s="69"/>
    </row>
    <row r="8" spans="1:11" ht="15" customHeight="1" thickBot="1">
      <c r="B8" s="18"/>
      <c r="C8" s="18"/>
      <c r="D8" s="139" t="s">
        <v>0</v>
      </c>
      <c r="E8" s="139" t="s">
        <v>1</v>
      </c>
      <c r="F8" s="139" t="s">
        <v>2</v>
      </c>
      <c r="G8" s="139" t="s">
        <v>3</v>
      </c>
      <c r="H8" s="139" t="s">
        <v>4</v>
      </c>
      <c r="I8" s="139" t="s">
        <v>5</v>
      </c>
      <c r="J8" s="18"/>
      <c r="K8" s="35"/>
    </row>
    <row r="9" spans="1:11" ht="60" customHeight="1">
      <c r="B9" s="71" t="s">
        <v>6</v>
      </c>
      <c r="C9" s="71" t="s">
        <v>7</v>
      </c>
      <c r="D9" s="72" t="s">
        <v>1175</v>
      </c>
      <c r="E9" s="72" t="s">
        <v>57</v>
      </c>
      <c r="F9" s="72" t="s">
        <v>58</v>
      </c>
      <c r="G9" s="72" t="s">
        <v>59</v>
      </c>
      <c r="H9" s="73" t="s">
        <v>60</v>
      </c>
      <c r="I9" s="73" t="s">
        <v>61</v>
      </c>
      <c r="J9" s="18"/>
      <c r="K9" s="35"/>
    </row>
    <row r="10" spans="1:11" ht="15" customHeight="1">
      <c r="B10" s="74"/>
      <c r="C10" s="74"/>
      <c r="D10" s="18"/>
      <c r="E10" s="18"/>
      <c r="F10" s="18"/>
      <c r="G10" s="18"/>
      <c r="H10" s="18"/>
      <c r="I10" s="18"/>
      <c r="J10" s="18"/>
      <c r="K10" s="36"/>
    </row>
    <row r="11" spans="1:11" ht="15" customHeight="1">
      <c r="B11" s="29" t="s">
        <v>1177</v>
      </c>
      <c r="C11" s="30" t="s">
        <v>457</v>
      </c>
      <c r="D11" s="36">
        <v>4.5033333333333328E-2</v>
      </c>
      <c r="E11" s="75">
        <v>0.85</v>
      </c>
      <c r="F11" s="36">
        <f>'AEB-7 Market Return'!$C$7</f>
        <v>0.12654516796751272</v>
      </c>
      <c r="G11" s="38">
        <f>F11-D11</f>
        <v>8.1511834634179395E-2</v>
      </c>
      <c r="H11" s="76">
        <f>IFERROR(G11*E11+D11, "")</f>
        <v>0.11431839277238581</v>
      </c>
      <c r="I11" s="76">
        <f>IFERROR((0.25*G11)+(0.75*E11*G11)+D11, "")</f>
        <v>0.11737508657116753</v>
      </c>
      <c r="J11" s="18"/>
      <c r="K11" s="36"/>
    </row>
    <row r="12" spans="1:11" ht="15" customHeight="1">
      <c r="B12" s="22" t="s">
        <v>1178</v>
      </c>
      <c r="C12" s="23" t="s">
        <v>550</v>
      </c>
      <c r="D12" s="36">
        <f>D11</f>
        <v>4.5033333333333328E-2</v>
      </c>
      <c r="E12" s="75">
        <v>0.95</v>
      </c>
      <c r="F12" s="36">
        <f>'AEB-7 Market Return'!$C$7</f>
        <v>0.12654516796751272</v>
      </c>
      <c r="G12" s="38">
        <f t="shared" ref="G12:G15" si="0">F12-D12</f>
        <v>8.1511834634179395E-2</v>
      </c>
      <c r="H12" s="76">
        <f t="shared" ref="H12:H15" si="1">IFERROR(G12*E12+D12, "")</f>
        <v>0.12246957623580375</v>
      </c>
      <c r="I12" s="76">
        <f t="shared" ref="I12:I15" si="2">IFERROR((0.25*G12)+(0.75*E12*G12)+D12, "")</f>
        <v>0.12348847416873099</v>
      </c>
      <c r="J12" s="18"/>
      <c r="K12" s="36"/>
    </row>
    <row r="13" spans="1:11" ht="15" customHeight="1">
      <c r="B13" s="22" t="s">
        <v>1179</v>
      </c>
      <c r="C13" s="23" t="s">
        <v>1180</v>
      </c>
      <c r="D13" s="36">
        <f t="shared" ref="D13:D15" si="3">D12</f>
        <v>4.5033333333333328E-2</v>
      </c>
      <c r="E13" s="75">
        <v>0.85</v>
      </c>
      <c r="F13" s="36">
        <f>'AEB-7 Market Return'!$C$7</f>
        <v>0.12654516796751272</v>
      </c>
      <c r="G13" s="38">
        <f t="shared" si="0"/>
        <v>8.1511834634179395E-2</v>
      </c>
      <c r="H13" s="76">
        <f t="shared" si="1"/>
        <v>0.11431839277238581</v>
      </c>
      <c r="I13" s="76">
        <f t="shared" si="2"/>
        <v>0.11737508657116753</v>
      </c>
      <c r="J13" s="18"/>
      <c r="K13" s="36"/>
    </row>
    <row r="14" spans="1:11" ht="15" customHeight="1">
      <c r="B14" s="22" t="s">
        <v>1181</v>
      </c>
      <c r="C14" s="23" t="s">
        <v>1182</v>
      </c>
      <c r="D14" s="36">
        <f t="shared" si="3"/>
        <v>4.5033333333333328E-2</v>
      </c>
      <c r="E14" s="75">
        <v>0.85</v>
      </c>
      <c r="F14" s="36">
        <f>'AEB-7 Market Return'!$C$7</f>
        <v>0.12654516796751272</v>
      </c>
      <c r="G14" s="38">
        <f t="shared" si="0"/>
        <v>8.1511834634179395E-2</v>
      </c>
      <c r="H14" s="76">
        <f t="shared" si="1"/>
        <v>0.11431839277238581</v>
      </c>
      <c r="I14" s="76">
        <f t="shared" si="2"/>
        <v>0.11737508657116753</v>
      </c>
      <c r="J14" s="18"/>
      <c r="K14" s="36"/>
    </row>
    <row r="15" spans="1:11" ht="15" customHeight="1">
      <c r="B15" s="29" t="s">
        <v>1183</v>
      </c>
      <c r="C15" s="30" t="s">
        <v>1184</v>
      </c>
      <c r="D15" s="36">
        <f t="shared" si="3"/>
        <v>4.5033333333333328E-2</v>
      </c>
      <c r="E15" s="75">
        <v>0.85</v>
      </c>
      <c r="F15" s="36">
        <f>'AEB-7 Market Return'!$C$7</f>
        <v>0.12654516796751272</v>
      </c>
      <c r="G15" s="38">
        <f t="shared" si="0"/>
        <v>8.1511834634179395E-2</v>
      </c>
      <c r="H15" s="76">
        <f t="shared" si="1"/>
        <v>0.11431839277238581</v>
      </c>
      <c r="I15" s="76">
        <f t="shared" si="2"/>
        <v>0.11737508657116753</v>
      </c>
      <c r="J15" s="18"/>
      <c r="K15" s="36"/>
    </row>
    <row r="16" spans="1:11" ht="15" customHeight="1">
      <c r="B16" s="74" t="s">
        <v>41</v>
      </c>
      <c r="C16" s="78"/>
      <c r="D16" s="78"/>
      <c r="E16" s="79"/>
      <c r="F16" s="80"/>
      <c r="G16" s="80"/>
      <c r="H16" s="80">
        <f>AVERAGE(H11:H15)</f>
        <v>0.11594862946506938</v>
      </c>
      <c r="I16" s="80">
        <f>AVERAGE(I11:I15)</f>
        <v>0.11859776409068021</v>
      </c>
      <c r="J16" s="18"/>
    </row>
    <row r="17" spans="2:10" ht="15" customHeight="1" thickBot="1">
      <c r="B17" s="81" t="s">
        <v>42</v>
      </c>
      <c r="C17" s="82"/>
      <c r="D17" s="82"/>
      <c r="E17" s="83"/>
      <c r="F17" s="84"/>
      <c r="G17" s="84"/>
      <c r="H17" s="84">
        <f>MEDIAN(H11:H15)</f>
        <v>0.11431839277238581</v>
      </c>
      <c r="I17" s="84">
        <f>MEDIAN(I11:I15)</f>
        <v>0.11737508657116753</v>
      </c>
      <c r="J17" s="18"/>
    </row>
    <row r="19" spans="2:10" ht="15" customHeight="1">
      <c r="B19" s="27" t="s">
        <v>15</v>
      </c>
    </row>
    <row r="20" spans="2:10" ht="15" customHeight="1">
      <c r="B20" s="21" t="str">
        <f>"[1] Bloomberg Professional 30-day average as of "&amp; TEXT(A1,"mmmm d yyyy")</f>
        <v>[1] Bloomberg Professional 30-day average as of June 30 2024</v>
      </c>
    </row>
    <row r="21" spans="2:10" ht="15" customHeight="1">
      <c r="B21" s="21" t="s">
        <v>1223</v>
      </c>
    </row>
    <row r="22" spans="2:10" ht="15" customHeight="1">
      <c r="B22" s="21" t="s">
        <v>1221</v>
      </c>
    </row>
    <row r="23" spans="2:10" ht="15" customHeight="1">
      <c r="B23" s="21" t="s">
        <v>62</v>
      </c>
    </row>
    <row r="24" spans="2:10" ht="15" customHeight="1">
      <c r="B24" s="85" t="s">
        <v>63</v>
      </c>
    </row>
    <row r="25" spans="2:10" ht="15" customHeight="1">
      <c r="B25" s="85" t="s">
        <v>64</v>
      </c>
    </row>
    <row r="28" spans="2:10" ht="15" customHeight="1">
      <c r="B28" s="534" t="s">
        <v>53</v>
      </c>
      <c r="C28" s="534"/>
      <c r="D28" s="534"/>
      <c r="E28" s="534"/>
      <c r="F28" s="534"/>
      <c r="G28" s="534"/>
      <c r="H28" s="534"/>
      <c r="I28" s="534"/>
    </row>
    <row r="29" spans="2:10" ht="15" customHeight="1">
      <c r="B29" s="534" t="s">
        <v>65</v>
      </c>
      <c r="C29" s="534"/>
      <c r="D29" s="534"/>
      <c r="E29" s="534"/>
      <c r="F29" s="534"/>
      <c r="G29" s="534"/>
      <c r="H29" s="534"/>
      <c r="I29" s="534"/>
    </row>
    <row r="30" spans="2:10" ht="15" customHeight="1">
      <c r="B30" s="140"/>
      <c r="C30" s="140"/>
      <c r="D30" s="140"/>
      <c r="E30" s="140"/>
      <c r="F30" s="140"/>
      <c r="G30" s="140"/>
      <c r="H30" s="140"/>
      <c r="I30" s="140"/>
    </row>
    <row r="31" spans="2:10" ht="15" customHeight="1">
      <c r="B31" s="533" t="s">
        <v>55</v>
      </c>
      <c r="C31" s="533"/>
      <c r="D31" s="533"/>
      <c r="E31" s="533"/>
      <c r="F31" s="533"/>
      <c r="G31" s="533"/>
      <c r="H31" s="533"/>
      <c r="I31" s="533"/>
    </row>
    <row r="32" spans="2:10" ht="15" customHeight="1">
      <c r="B32" s="533" t="s">
        <v>56</v>
      </c>
      <c r="C32" s="533"/>
      <c r="D32" s="533"/>
      <c r="E32" s="533"/>
      <c r="F32" s="533"/>
      <c r="G32" s="533"/>
      <c r="H32" s="533"/>
      <c r="I32" s="533"/>
    </row>
    <row r="33" spans="2:11" ht="15" customHeight="1">
      <c r="B33" s="139"/>
      <c r="C33" s="139"/>
      <c r="D33" s="139"/>
      <c r="E33" s="139"/>
      <c r="F33" s="139"/>
      <c r="G33" s="139"/>
      <c r="H33" s="139"/>
      <c r="I33" s="139"/>
    </row>
    <row r="34" spans="2:11" ht="15" customHeight="1" thickBot="1">
      <c r="B34" s="18"/>
      <c r="C34" s="18"/>
      <c r="D34" s="139" t="s">
        <v>0</v>
      </c>
      <c r="E34" s="139" t="s">
        <v>1</v>
      </c>
      <c r="F34" s="139" t="s">
        <v>2</v>
      </c>
      <c r="G34" s="139" t="s">
        <v>3</v>
      </c>
      <c r="H34" s="139" t="s">
        <v>4</v>
      </c>
      <c r="I34" s="139" t="s">
        <v>5</v>
      </c>
    </row>
    <row r="35" spans="2:11" ht="77.5">
      <c r="B35" s="71" t="s">
        <v>6</v>
      </c>
      <c r="C35" s="71" t="s">
        <v>7</v>
      </c>
      <c r="D35" s="72" t="s">
        <v>1459</v>
      </c>
      <c r="E35" s="72" t="s">
        <v>57</v>
      </c>
      <c r="F35" s="72" t="s">
        <v>58</v>
      </c>
      <c r="G35" s="72" t="s">
        <v>59</v>
      </c>
      <c r="H35" s="73" t="s">
        <v>60</v>
      </c>
      <c r="I35" s="73" t="s">
        <v>61</v>
      </c>
    </row>
    <row r="36" spans="2:11" ht="15" customHeight="1">
      <c r="B36" s="74"/>
      <c r="C36" s="74"/>
      <c r="D36" s="18"/>
      <c r="E36" s="18"/>
      <c r="F36" s="18"/>
      <c r="G36" s="18"/>
      <c r="H36" s="18"/>
      <c r="I36" s="18"/>
    </row>
    <row r="37" spans="2:11" ht="15" customHeight="1">
      <c r="B37" s="29" t="s">
        <v>1177</v>
      </c>
      <c r="C37" s="30" t="s">
        <v>457</v>
      </c>
      <c r="D37" s="36">
        <f>AVERAGE(4.4%,4.4%,4.3%,4.3%,4.2%)</f>
        <v>4.3200000000000002E-2</v>
      </c>
      <c r="E37" s="75">
        <f>E11</f>
        <v>0.85</v>
      </c>
      <c r="F37" s="36">
        <f>'AEB-7 Market Return'!$C$7</f>
        <v>0.12654516796751272</v>
      </c>
      <c r="G37" s="38">
        <f>F37-D37</f>
        <v>8.334516796751272E-2</v>
      </c>
      <c r="H37" s="76">
        <f>IFERROR(G37*E37+D37, "")</f>
        <v>0.11404339277238582</v>
      </c>
      <c r="I37" s="76">
        <f>IFERROR((0.25*G37)+(0.75*E37*G37)+D37, "")</f>
        <v>0.11716883657116754</v>
      </c>
      <c r="K37" s="35"/>
    </row>
    <row r="38" spans="2:11" ht="15" customHeight="1">
      <c r="B38" s="22" t="s">
        <v>1178</v>
      </c>
      <c r="C38" s="23" t="s">
        <v>550</v>
      </c>
      <c r="D38" s="36">
        <f>D37</f>
        <v>4.3200000000000002E-2</v>
      </c>
      <c r="E38" s="75">
        <f t="shared" ref="E38:E41" si="4">E12</f>
        <v>0.95</v>
      </c>
      <c r="F38" s="36">
        <f>'AEB-7 Market Return'!$C$7</f>
        <v>0.12654516796751272</v>
      </c>
      <c r="G38" s="38">
        <f t="shared" ref="G38:G41" si="5">F38-D38</f>
        <v>8.334516796751272E-2</v>
      </c>
      <c r="H38" s="76">
        <f t="shared" ref="H38:H41" si="6">IFERROR(G38*E38+D38, "")</f>
        <v>0.12237790956913708</v>
      </c>
      <c r="I38" s="76">
        <f t="shared" ref="I38:I41" si="7">IFERROR((0.25*G38)+(0.75*E38*G38)+D38, "")</f>
        <v>0.12341972416873098</v>
      </c>
      <c r="K38" s="35"/>
    </row>
    <row r="39" spans="2:11" ht="15" customHeight="1">
      <c r="B39" s="22" t="s">
        <v>1179</v>
      </c>
      <c r="C39" s="23" t="s">
        <v>1180</v>
      </c>
      <c r="D39" s="36">
        <f t="shared" ref="D39:D41" si="8">D38</f>
        <v>4.3200000000000002E-2</v>
      </c>
      <c r="E39" s="75">
        <f t="shared" si="4"/>
        <v>0.85</v>
      </c>
      <c r="F39" s="36">
        <f>'AEB-7 Market Return'!$C$7</f>
        <v>0.12654516796751272</v>
      </c>
      <c r="G39" s="38">
        <f t="shared" si="5"/>
        <v>8.334516796751272E-2</v>
      </c>
      <c r="H39" s="76">
        <f t="shared" si="6"/>
        <v>0.11404339277238582</v>
      </c>
      <c r="I39" s="76">
        <f t="shared" si="7"/>
        <v>0.11716883657116754</v>
      </c>
      <c r="K39" s="35"/>
    </row>
    <row r="40" spans="2:11" ht="15" customHeight="1">
      <c r="B40" s="22" t="s">
        <v>1181</v>
      </c>
      <c r="C40" s="23" t="s">
        <v>1182</v>
      </c>
      <c r="D40" s="36">
        <f t="shared" si="8"/>
        <v>4.3200000000000002E-2</v>
      </c>
      <c r="E40" s="75">
        <f t="shared" si="4"/>
        <v>0.85</v>
      </c>
      <c r="F40" s="36">
        <f>'AEB-7 Market Return'!$C$7</f>
        <v>0.12654516796751272</v>
      </c>
      <c r="G40" s="38">
        <f t="shared" si="5"/>
        <v>8.334516796751272E-2</v>
      </c>
      <c r="H40" s="76">
        <f t="shared" si="6"/>
        <v>0.11404339277238582</v>
      </c>
      <c r="I40" s="76">
        <f>IFERROR((0.25*G40)+(0.75*E40*G40)+D40, "")</f>
        <v>0.11716883657116754</v>
      </c>
      <c r="K40" s="35"/>
    </row>
    <row r="41" spans="2:11" ht="15" customHeight="1">
      <c r="B41" s="29" t="s">
        <v>1183</v>
      </c>
      <c r="C41" s="30" t="s">
        <v>1184</v>
      </c>
      <c r="D41" s="36">
        <f t="shared" si="8"/>
        <v>4.3200000000000002E-2</v>
      </c>
      <c r="E41" s="75">
        <f t="shared" si="4"/>
        <v>0.85</v>
      </c>
      <c r="F41" s="36">
        <f>'AEB-7 Market Return'!$C$7</f>
        <v>0.12654516796751272</v>
      </c>
      <c r="G41" s="38">
        <f t="shared" si="5"/>
        <v>8.334516796751272E-2</v>
      </c>
      <c r="H41" s="76">
        <f t="shared" si="6"/>
        <v>0.11404339277238582</v>
      </c>
      <c r="I41" s="76">
        <f t="shared" si="7"/>
        <v>0.11716883657116754</v>
      </c>
      <c r="K41" s="35"/>
    </row>
    <row r="42" spans="2:11" ht="15" customHeight="1">
      <c r="B42" s="74" t="s">
        <v>41</v>
      </c>
      <c r="C42" s="78"/>
      <c r="D42" s="78"/>
      <c r="E42" s="79"/>
      <c r="F42" s="80"/>
      <c r="G42" s="80"/>
      <c r="H42" s="80">
        <f>AVERAGE(H37:H41)</f>
        <v>0.11571029613173607</v>
      </c>
      <c r="I42" s="80">
        <f>AVERAGE(I37:I41)</f>
        <v>0.11841901409068023</v>
      </c>
    </row>
    <row r="43" spans="2:11" ht="15" customHeight="1" thickBot="1">
      <c r="B43" s="81" t="s">
        <v>42</v>
      </c>
      <c r="C43" s="82"/>
      <c r="D43" s="82"/>
      <c r="E43" s="83"/>
      <c r="F43" s="84"/>
      <c r="G43" s="84"/>
      <c r="H43" s="84">
        <f>MEDIAN(H37:H41)</f>
        <v>0.11404339277238582</v>
      </c>
      <c r="I43" s="84">
        <f>MEDIAN(I37:I41)</f>
        <v>0.11716883657116754</v>
      </c>
    </row>
    <row r="45" spans="2:11" ht="15" customHeight="1">
      <c r="B45" s="27" t="s">
        <v>15</v>
      </c>
    </row>
    <row r="46" spans="2:11" ht="15" customHeight="1">
      <c r="B46" s="21" t="s">
        <v>1285</v>
      </c>
    </row>
    <row r="47" spans="2:11" ht="15" customHeight="1">
      <c r="B47" s="21" t="str">
        <f>B21</f>
        <v>[2] Source: Value Line</v>
      </c>
    </row>
    <row r="48" spans="2:11" ht="15" customHeight="1">
      <c r="B48" s="21" t="str">
        <f>$B$22</f>
        <v>[3] Source: Market Return</v>
      </c>
    </row>
    <row r="49" spans="2:11" ht="15" customHeight="1">
      <c r="B49" s="21" t="s">
        <v>62</v>
      </c>
    </row>
    <row r="50" spans="2:11" ht="15" customHeight="1">
      <c r="B50" s="85" t="s">
        <v>63</v>
      </c>
    </row>
    <row r="51" spans="2:11" ht="15" customHeight="1">
      <c r="B51" s="85" t="s">
        <v>64</v>
      </c>
    </row>
    <row r="54" spans="2:11" ht="15" customHeight="1">
      <c r="B54" s="534" t="s">
        <v>53</v>
      </c>
      <c r="C54" s="534"/>
      <c r="D54" s="534"/>
      <c r="E54" s="534"/>
      <c r="F54" s="534"/>
      <c r="G54" s="534"/>
      <c r="H54" s="534"/>
      <c r="I54" s="534"/>
    </row>
    <row r="55" spans="2:11" ht="15" customHeight="1">
      <c r="B55" s="534" t="s">
        <v>66</v>
      </c>
      <c r="C55" s="534"/>
      <c r="D55" s="534"/>
      <c r="E55" s="534"/>
      <c r="F55" s="534"/>
      <c r="G55" s="534"/>
      <c r="H55" s="534"/>
      <c r="I55" s="534"/>
    </row>
    <row r="56" spans="2:11" ht="15" customHeight="1">
      <c r="B56" s="140"/>
      <c r="C56" s="140"/>
      <c r="D56" s="140"/>
      <c r="E56" s="140"/>
      <c r="F56" s="140"/>
      <c r="G56" s="140"/>
      <c r="H56" s="140"/>
      <c r="I56" s="140"/>
    </row>
    <row r="57" spans="2:11" ht="15" customHeight="1">
      <c r="B57" s="533" t="s">
        <v>55</v>
      </c>
      <c r="C57" s="533"/>
      <c r="D57" s="533"/>
      <c r="E57" s="533"/>
      <c r="F57" s="533"/>
      <c r="G57" s="533"/>
      <c r="H57" s="533"/>
      <c r="I57" s="533"/>
    </row>
    <row r="58" spans="2:11" ht="15" customHeight="1">
      <c r="B58" s="533" t="s">
        <v>56</v>
      </c>
      <c r="C58" s="533"/>
      <c r="D58" s="533"/>
      <c r="E58" s="533"/>
      <c r="F58" s="533"/>
      <c r="G58" s="533"/>
      <c r="H58" s="533"/>
      <c r="I58" s="533"/>
    </row>
    <row r="59" spans="2:11" ht="15" customHeight="1">
      <c r="B59" s="139"/>
      <c r="C59" s="139"/>
      <c r="D59" s="139"/>
      <c r="E59" s="139"/>
      <c r="F59" s="139"/>
      <c r="G59" s="139"/>
      <c r="H59" s="139"/>
      <c r="I59" s="139"/>
    </row>
    <row r="60" spans="2:11" ht="15" customHeight="1" thickBot="1">
      <c r="B60" s="18"/>
      <c r="C60" s="18"/>
      <c r="D60" s="139" t="s">
        <v>0</v>
      </c>
      <c r="E60" s="139" t="s">
        <v>1</v>
      </c>
      <c r="F60" s="139" t="s">
        <v>2</v>
      </c>
      <c r="G60" s="139" t="s">
        <v>3</v>
      </c>
      <c r="H60" s="139" t="s">
        <v>4</v>
      </c>
      <c r="I60" s="139" t="s">
        <v>5</v>
      </c>
    </row>
    <row r="61" spans="2:11" ht="60" customHeight="1">
      <c r="B61" s="71" t="s">
        <v>6</v>
      </c>
      <c r="C61" s="86" t="s">
        <v>7</v>
      </c>
      <c r="D61" s="72" t="s">
        <v>1460</v>
      </c>
      <c r="E61" s="72" t="s">
        <v>57</v>
      </c>
      <c r="F61" s="72" t="s">
        <v>58</v>
      </c>
      <c r="G61" s="72" t="s">
        <v>59</v>
      </c>
      <c r="H61" s="73" t="s">
        <v>60</v>
      </c>
      <c r="I61" s="73" t="s">
        <v>61</v>
      </c>
    </row>
    <row r="62" spans="2:11" ht="15" customHeight="1">
      <c r="B62" s="74"/>
      <c r="C62" s="74"/>
      <c r="D62" s="18"/>
      <c r="E62" s="18"/>
      <c r="F62" s="18"/>
      <c r="G62" s="35"/>
      <c r="H62" s="35"/>
      <c r="I62" s="35"/>
    </row>
    <row r="63" spans="2:11" ht="15" customHeight="1">
      <c r="B63" s="29" t="s">
        <v>1177</v>
      </c>
      <c r="C63" s="30" t="s">
        <v>457</v>
      </c>
      <c r="D63" s="36">
        <v>4.2999999999999997E-2</v>
      </c>
      <c r="E63" s="87">
        <f>E37</f>
        <v>0.85</v>
      </c>
      <c r="F63" s="36">
        <f>'AEB-7 Market Return'!$C$7</f>
        <v>0.12654516796751272</v>
      </c>
      <c r="G63" s="38">
        <f>F63-D63</f>
        <v>8.3545167967512726E-2</v>
      </c>
      <c r="H63" s="76">
        <f>IFERROR(G63*E63+D63, "")</f>
        <v>0.11401339277238581</v>
      </c>
      <c r="I63" s="76">
        <f>IFERROR((0.25*G63)+(0.75*E63*G63)+D63, "")</f>
        <v>0.11714633657116753</v>
      </c>
      <c r="K63" s="18"/>
    </row>
    <row r="64" spans="2:11" ht="15" customHeight="1">
      <c r="B64" s="22" t="s">
        <v>1178</v>
      </c>
      <c r="C64" s="23" t="s">
        <v>550</v>
      </c>
      <c r="D64" s="36">
        <f>D63</f>
        <v>4.2999999999999997E-2</v>
      </c>
      <c r="E64" s="87">
        <f t="shared" ref="E64:E67" si="9">E38</f>
        <v>0.95</v>
      </c>
      <c r="F64" s="36">
        <f>'AEB-7 Market Return'!$C$7</f>
        <v>0.12654516796751272</v>
      </c>
      <c r="G64" s="38">
        <f t="shared" ref="G64:G67" si="10">F64-D64</f>
        <v>8.3545167967512726E-2</v>
      </c>
      <c r="H64" s="76">
        <f t="shared" ref="H64:H67" si="11">IFERROR(G64*E64+D64, "")</f>
        <v>0.12236790956913708</v>
      </c>
      <c r="I64" s="76">
        <f t="shared" ref="I64:I67" si="12">IFERROR((0.25*G64)+(0.75*E64*G64)+D64, "")</f>
        <v>0.12341222416873099</v>
      </c>
      <c r="K64" s="18"/>
    </row>
    <row r="65" spans="2:11" ht="15" customHeight="1">
      <c r="B65" s="22" t="s">
        <v>1179</v>
      </c>
      <c r="C65" s="23" t="s">
        <v>1180</v>
      </c>
      <c r="D65" s="36">
        <f t="shared" ref="D65:D67" si="13">D64</f>
        <v>4.2999999999999997E-2</v>
      </c>
      <c r="E65" s="87">
        <f t="shared" si="9"/>
        <v>0.85</v>
      </c>
      <c r="F65" s="36">
        <f>'AEB-7 Market Return'!$C$7</f>
        <v>0.12654516796751272</v>
      </c>
      <c r="G65" s="38">
        <f t="shared" si="10"/>
        <v>8.3545167967512726E-2</v>
      </c>
      <c r="H65" s="76">
        <f t="shared" si="11"/>
        <v>0.11401339277238581</v>
      </c>
      <c r="I65" s="76">
        <f t="shared" si="12"/>
        <v>0.11714633657116753</v>
      </c>
      <c r="K65" s="18"/>
    </row>
    <row r="66" spans="2:11" ht="15" customHeight="1">
      <c r="B66" s="22" t="s">
        <v>1181</v>
      </c>
      <c r="C66" s="23" t="s">
        <v>1182</v>
      </c>
      <c r="D66" s="36">
        <f t="shared" si="13"/>
        <v>4.2999999999999997E-2</v>
      </c>
      <c r="E66" s="87">
        <f t="shared" si="9"/>
        <v>0.85</v>
      </c>
      <c r="F66" s="36">
        <f>'AEB-7 Market Return'!$C$7</f>
        <v>0.12654516796751272</v>
      </c>
      <c r="G66" s="38">
        <f t="shared" si="10"/>
        <v>8.3545167967512726E-2</v>
      </c>
      <c r="H66" s="76">
        <f t="shared" si="11"/>
        <v>0.11401339277238581</v>
      </c>
      <c r="I66" s="76">
        <f t="shared" si="12"/>
        <v>0.11714633657116753</v>
      </c>
      <c r="K66" s="18"/>
    </row>
    <row r="67" spans="2:11" ht="15" customHeight="1">
      <c r="B67" s="29" t="s">
        <v>1183</v>
      </c>
      <c r="C67" s="30" t="s">
        <v>1184</v>
      </c>
      <c r="D67" s="36">
        <f t="shared" si="13"/>
        <v>4.2999999999999997E-2</v>
      </c>
      <c r="E67" s="87">
        <f t="shared" si="9"/>
        <v>0.85</v>
      </c>
      <c r="F67" s="36">
        <f>'AEB-7 Market Return'!$C$7</f>
        <v>0.12654516796751272</v>
      </c>
      <c r="G67" s="38">
        <f t="shared" si="10"/>
        <v>8.3545167967512726E-2</v>
      </c>
      <c r="H67" s="76">
        <f t="shared" si="11"/>
        <v>0.11401339277238581</v>
      </c>
      <c r="I67" s="76">
        <f t="shared" si="12"/>
        <v>0.11714633657116753</v>
      </c>
      <c r="K67" s="18"/>
    </row>
    <row r="68" spans="2:11" ht="15" customHeight="1">
      <c r="B68" s="74" t="s">
        <v>41</v>
      </c>
      <c r="C68" s="78"/>
      <c r="D68" s="78"/>
      <c r="E68" s="79"/>
      <c r="F68" s="80"/>
      <c r="G68" s="80"/>
      <c r="H68" s="80">
        <f>AVERAGE(H63:H67)</f>
        <v>0.11568429613173606</v>
      </c>
      <c r="I68" s="80">
        <f>AVERAGE(I63:I67)</f>
        <v>0.11839951409068021</v>
      </c>
    </row>
    <row r="69" spans="2:11" ht="15" customHeight="1" thickBot="1">
      <c r="B69" s="81" t="s">
        <v>42</v>
      </c>
      <c r="C69" s="82"/>
      <c r="D69" s="82"/>
      <c r="E69" s="83"/>
      <c r="F69" s="84"/>
      <c r="G69" s="84"/>
      <c r="H69" s="84">
        <f>MEDIAN(H63:H67)</f>
        <v>0.11401339277238581</v>
      </c>
      <c r="I69" s="84">
        <f>MEDIAN(I63:I67)</f>
        <v>0.11714633657116753</v>
      </c>
    </row>
    <row r="70" spans="2:11" ht="15" customHeight="1">
      <c r="G70" s="31"/>
      <c r="H70" s="31"/>
      <c r="I70" s="31"/>
    </row>
    <row r="71" spans="2:11" ht="15" customHeight="1">
      <c r="B71" s="27" t="s">
        <v>15</v>
      </c>
      <c r="G71" s="31"/>
      <c r="H71" s="31"/>
      <c r="I71" s="31"/>
    </row>
    <row r="72" spans="2:11" ht="15" customHeight="1">
      <c r="B72" s="21" t="s">
        <v>1258</v>
      </c>
      <c r="G72" s="31"/>
      <c r="H72" s="31"/>
      <c r="I72" s="31"/>
    </row>
    <row r="73" spans="2:11" ht="15" customHeight="1">
      <c r="B73" s="21" t="str">
        <f>B47</f>
        <v>[2] Source: Value Line</v>
      </c>
      <c r="G73" s="31"/>
      <c r="H73" s="31"/>
      <c r="I73" s="31"/>
    </row>
    <row r="74" spans="2:11" ht="15" customHeight="1">
      <c r="B74" s="21" t="str">
        <f>$B$22</f>
        <v>[3] Source: Market Return</v>
      </c>
      <c r="G74" s="31"/>
      <c r="H74" s="31"/>
      <c r="I74" s="31"/>
    </row>
    <row r="75" spans="2:11" ht="15" customHeight="1">
      <c r="B75" s="21" t="s">
        <v>62</v>
      </c>
      <c r="G75" s="31"/>
      <c r="H75" s="31"/>
      <c r="I75" s="31"/>
    </row>
    <row r="76" spans="2:11" ht="15" customHeight="1">
      <c r="B76" s="85" t="s">
        <v>63</v>
      </c>
      <c r="G76" s="31"/>
      <c r="H76" s="31"/>
      <c r="I76" s="31"/>
    </row>
    <row r="77" spans="2:11" ht="15" customHeight="1">
      <c r="B77" s="85" t="s">
        <v>64</v>
      </c>
      <c r="G77" s="31"/>
      <c r="H77" s="31"/>
      <c r="I77" s="31"/>
    </row>
    <row r="80" spans="2:11" ht="15" customHeight="1">
      <c r="B80" s="534" t="s">
        <v>53</v>
      </c>
      <c r="C80" s="534"/>
      <c r="D80" s="534"/>
      <c r="E80" s="534"/>
      <c r="F80" s="534"/>
      <c r="G80" s="534"/>
      <c r="H80" s="534"/>
      <c r="I80" s="534"/>
    </row>
    <row r="81" spans="2:11" ht="15" customHeight="1">
      <c r="B81" s="534" t="s">
        <v>67</v>
      </c>
      <c r="C81" s="534"/>
      <c r="D81" s="534"/>
      <c r="E81" s="534"/>
      <c r="F81" s="534"/>
      <c r="G81" s="534"/>
      <c r="H81" s="534"/>
      <c r="I81" s="534"/>
    </row>
    <row r="82" spans="2:11" ht="15" customHeight="1">
      <c r="B82" s="140"/>
      <c r="C82" s="140"/>
      <c r="D82" s="140"/>
      <c r="E82" s="140"/>
      <c r="F82" s="140"/>
      <c r="G82" s="140"/>
      <c r="H82" s="140"/>
      <c r="I82" s="140"/>
    </row>
    <row r="83" spans="2:11" ht="15" customHeight="1">
      <c r="B83" s="533" t="s">
        <v>55</v>
      </c>
      <c r="C83" s="533"/>
      <c r="D83" s="533"/>
      <c r="E83" s="533"/>
      <c r="F83" s="533"/>
      <c r="G83" s="533"/>
      <c r="H83" s="533"/>
      <c r="I83" s="533"/>
    </row>
    <row r="84" spans="2:11" ht="15" customHeight="1">
      <c r="B84" s="533" t="s">
        <v>56</v>
      </c>
      <c r="C84" s="533"/>
      <c r="D84" s="533"/>
      <c r="E84" s="533"/>
      <c r="F84" s="533"/>
      <c r="G84" s="533"/>
      <c r="H84" s="533"/>
      <c r="I84" s="533"/>
    </row>
    <row r="85" spans="2:11" ht="15" customHeight="1">
      <c r="B85" s="139"/>
      <c r="C85" s="139"/>
      <c r="D85" s="139"/>
      <c r="E85" s="139"/>
      <c r="F85" s="139"/>
      <c r="G85" s="139"/>
      <c r="H85" s="139"/>
      <c r="I85" s="139"/>
    </row>
    <row r="86" spans="2:11" ht="15" customHeight="1" thickBot="1">
      <c r="B86" s="18"/>
      <c r="C86" s="18"/>
      <c r="D86" s="139" t="s">
        <v>0</v>
      </c>
      <c r="E86" s="139" t="s">
        <v>1</v>
      </c>
      <c r="F86" s="139" t="s">
        <v>2</v>
      </c>
      <c r="G86" s="139" t="s">
        <v>3</v>
      </c>
      <c r="H86" s="139" t="s">
        <v>4</v>
      </c>
      <c r="I86" s="139" t="s">
        <v>5</v>
      </c>
    </row>
    <row r="87" spans="2:11" ht="60" customHeight="1">
      <c r="B87" s="71" t="s">
        <v>6</v>
      </c>
      <c r="C87" s="86" t="s">
        <v>7</v>
      </c>
      <c r="D87" s="72" t="str">
        <f>D9</f>
        <v>Current 30-day average of 30-year Treasury bond yield</v>
      </c>
      <c r="E87" s="72" t="s">
        <v>57</v>
      </c>
      <c r="F87" s="72" t="s">
        <v>58</v>
      </c>
      <c r="G87" s="72" t="s">
        <v>59</v>
      </c>
      <c r="H87" s="73" t="s">
        <v>60</v>
      </c>
      <c r="I87" s="73" t="s">
        <v>61</v>
      </c>
    </row>
    <row r="88" spans="2:11" ht="15" customHeight="1">
      <c r="B88" s="74"/>
      <c r="C88" s="74"/>
      <c r="D88" s="18"/>
      <c r="E88" s="18"/>
      <c r="F88" s="18"/>
      <c r="G88" s="35"/>
      <c r="H88" s="35"/>
      <c r="I88" s="35"/>
    </row>
    <row r="89" spans="2:11" ht="15" customHeight="1">
      <c r="B89" s="29" t="s">
        <v>1177</v>
      </c>
      <c r="C89" s="30" t="s">
        <v>457</v>
      </c>
      <c r="D89" s="26">
        <f>D11</f>
        <v>4.5033333333333328E-2</v>
      </c>
      <c r="E89" s="75">
        <v>0.74953268742027135</v>
      </c>
      <c r="F89" s="36">
        <f>'AEB-7 Market Return'!$C$7</f>
        <v>0.12654516796751272</v>
      </c>
      <c r="G89" s="38">
        <f>F89-D89</f>
        <v>8.1511834634179395E-2</v>
      </c>
      <c r="H89" s="76">
        <f>IFERROR(G89*E89+D89, "")</f>
        <v>0.10612911780324656</v>
      </c>
      <c r="I89" s="76">
        <f>IFERROR((0.25*G89)+(0.75*E89*G89)+D89, "")</f>
        <v>0.11123313034431311</v>
      </c>
      <c r="K89" s="37"/>
    </row>
    <row r="90" spans="2:11" ht="15" customHeight="1">
      <c r="B90" s="22" t="s">
        <v>1178</v>
      </c>
      <c r="C90" s="23" t="s">
        <v>550</v>
      </c>
      <c r="D90" s="26">
        <f>D12</f>
        <v>4.5033333333333328E-2</v>
      </c>
      <c r="E90" s="75">
        <v>0.80249913607448831</v>
      </c>
      <c r="F90" s="36">
        <f>'AEB-7 Market Return'!$C$7</f>
        <v>0.12654516796751272</v>
      </c>
      <c r="G90" s="38">
        <f t="shared" ref="G90:G93" si="14">F90-D90</f>
        <v>8.1511834634179395E-2</v>
      </c>
      <c r="H90" s="76">
        <f t="shared" ref="H90:H93" si="15">IFERROR(G90*E90+D90, "")</f>
        <v>0.11044651020710884</v>
      </c>
      <c r="I90" s="76">
        <f t="shared" ref="I90:I93" si="16">IFERROR((0.25*G90)+(0.75*E90*G90)+D90, "")</f>
        <v>0.11447117464720982</v>
      </c>
      <c r="K90" s="37"/>
    </row>
    <row r="91" spans="2:11" ht="15" customHeight="1">
      <c r="B91" s="22" t="s">
        <v>1179</v>
      </c>
      <c r="C91" s="23" t="s">
        <v>1180</v>
      </c>
      <c r="D91" s="26">
        <f>D13</f>
        <v>4.5033333333333328E-2</v>
      </c>
      <c r="E91" s="75">
        <v>0.69472985146107535</v>
      </c>
      <c r="F91" s="36">
        <f>'AEB-7 Market Return'!$C$7</f>
        <v>0.12654516796751272</v>
      </c>
      <c r="G91" s="38">
        <f t="shared" si="14"/>
        <v>8.1511834634179395E-2</v>
      </c>
      <c r="H91" s="76">
        <f t="shared" si="15"/>
        <v>0.10166203810105651</v>
      </c>
      <c r="I91" s="76">
        <f t="shared" si="16"/>
        <v>0.10788282056767057</v>
      </c>
      <c r="K91" s="37"/>
    </row>
    <row r="92" spans="2:11" ht="15" customHeight="1">
      <c r="B92" s="22" t="s">
        <v>1181</v>
      </c>
      <c r="C92" s="23" t="s">
        <v>1182</v>
      </c>
      <c r="D92" s="26">
        <f>D14</f>
        <v>4.5033333333333328E-2</v>
      </c>
      <c r="E92" s="75">
        <v>0.77190126626246891</v>
      </c>
      <c r="F92" s="36">
        <f>'AEB-7 Market Return'!$C$7</f>
        <v>0.12654516796751272</v>
      </c>
      <c r="G92" s="38">
        <f t="shared" si="14"/>
        <v>8.1511834634179395E-2</v>
      </c>
      <c r="H92" s="76">
        <f t="shared" si="15"/>
        <v>0.10795242170283337</v>
      </c>
      <c r="I92" s="76">
        <f t="shared" si="16"/>
        <v>0.11260060826900321</v>
      </c>
      <c r="K92" s="37"/>
    </row>
    <row r="93" spans="2:11" ht="15" customHeight="1">
      <c r="B93" s="29" t="s">
        <v>1183</v>
      </c>
      <c r="C93" s="30" t="s">
        <v>1184</v>
      </c>
      <c r="D93" s="26">
        <f>D15</f>
        <v>4.5033333333333328E-2</v>
      </c>
      <c r="E93" s="75">
        <v>0.76642831161244285</v>
      </c>
      <c r="F93" s="36">
        <f>'AEB-7 Market Return'!$C$7</f>
        <v>0.12654516796751272</v>
      </c>
      <c r="G93" s="38">
        <f t="shared" si="14"/>
        <v>8.1511834634179395E-2</v>
      </c>
      <c r="H93" s="76">
        <f t="shared" si="15"/>
        <v>0.10750631112844009</v>
      </c>
      <c r="I93" s="76">
        <f t="shared" si="16"/>
        <v>0.11226602533820824</v>
      </c>
      <c r="K93" s="37"/>
    </row>
    <row r="94" spans="2:11" ht="15" customHeight="1">
      <c r="B94" s="74" t="s">
        <v>41</v>
      </c>
      <c r="C94" s="78"/>
      <c r="D94" s="78"/>
      <c r="E94" s="79"/>
      <c r="F94" s="80"/>
      <c r="G94" s="80"/>
      <c r="H94" s="80">
        <f>AVERAGE(H89:H93)</f>
        <v>0.10673927978853708</v>
      </c>
      <c r="I94" s="80">
        <f>AVERAGE(I89:I93)</f>
        <v>0.11169075183328099</v>
      </c>
    </row>
    <row r="95" spans="2:11" ht="15" customHeight="1" thickBot="1">
      <c r="B95" s="81" t="s">
        <v>42</v>
      </c>
      <c r="C95" s="82"/>
      <c r="D95" s="82"/>
      <c r="E95" s="83"/>
      <c r="F95" s="84"/>
      <c r="G95" s="84"/>
      <c r="H95" s="84">
        <f>MEDIAN(H89:H93)</f>
        <v>0.10750631112844009</v>
      </c>
      <c r="I95" s="84">
        <f>MEDIAN(I89:I93)</f>
        <v>0.11226602533820824</v>
      </c>
    </row>
    <row r="96" spans="2:11" ht="15" customHeight="1">
      <c r="G96" s="31"/>
      <c r="H96" s="31"/>
      <c r="I96" s="31"/>
    </row>
    <row r="97" spans="2:9" ht="15" customHeight="1">
      <c r="B97" s="27" t="s">
        <v>15</v>
      </c>
    </row>
    <row r="98" spans="2:9" ht="15" customHeight="1">
      <c r="B98" s="21" t="str">
        <f>B20</f>
        <v>[1] Bloomberg Professional 30-day average as of June 30 2024</v>
      </c>
    </row>
    <row r="99" spans="2:9" ht="15" customHeight="1">
      <c r="B99" s="21" t="s">
        <v>1217</v>
      </c>
    </row>
    <row r="100" spans="2:9" ht="15" customHeight="1">
      <c r="B100" s="21" t="str">
        <f>$B$22</f>
        <v>[3] Source: Market Return</v>
      </c>
    </row>
    <row r="101" spans="2:9" ht="15" customHeight="1">
      <c r="B101" s="21" t="s">
        <v>62</v>
      </c>
    </row>
    <row r="102" spans="2:9" ht="15" customHeight="1">
      <c r="B102" s="85" t="s">
        <v>63</v>
      </c>
    </row>
    <row r="103" spans="2:9" ht="15" customHeight="1">
      <c r="B103" s="85" t="s">
        <v>64</v>
      </c>
    </row>
    <row r="106" spans="2:9" ht="15" customHeight="1">
      <c r="B106" s="534" t="s">
        <v>53</v>
      </c>
      <c r="C106" s="534"/>
      <c r="D106" s="534"/>
      <c r="E106" s="534"/>
      <c r="F106" s="534"/>
      <c r="G106" s="534"/>
      <c r="H106" s="534"/>
      <c r="I106" s="534"/>
    </row>
    <row r="107" spans="2:9" ht="15" customHeight="1">
      <c r="B107" s="534" t="s">
        <v>68</v>
      </c>
      <c r="C107" s="534"/>
      <c r="D107" s="534"/>
      <c r="E107" s="534"/>
      <c r="F107" s="534"/>
      <c r="G107" s="534"/>
      <c r="H107" s="534"/>
      <c r="I107" s="534"/>
    </row>
    <row r="108" spans="2:9" ht="15" customHeight="1">
      <c r="B108" s="140"/>
      <c r="C108" s="140"/>
      <c r="D108" s="140"/>
      <c r="E108" s="140"/>
      <c r="F108" s="140"/>
      <c r="G108" s="140"/>
      <c r="H108" s="140"/>
      <c r="I108" s="140"/>
    </row>
    <row r="109" spans="2:9" ht="15" customHeight="1">
      <c r="B109" s="533" t="s">
        <v>55</v>
      </c>
      <c r="C109" s="533"/>
      <c r="D109" s="533"/>
      <c r="E109" s="533"/>
      <c r="F109" s="533"/>
      <c r="G109" s="533"/>
      <c r="H109" s="533"/>
      <c r="I109" s="533"/>
    </row>
    <row r="110" spans="2:9" ht="15" customHeight="1">
      <c r="B110" s="533" t="s">
        <v>56</v>
      </c>
      <c r="C110" s="533"/>
      <c r="D110" s="533"/>
      <c r="E110" s="533"/>
      <c r="F110" s="533"/>
      <c r="G110" s="533"/>
      <c r="H110" s="533"/>
      <c r="I110" s="533"/>
    </row>
    <row r="111" spans="2:9" ht="15" customHeight="1">
      <c r="B111" s="139"/>
      <c r="C111" s="139"/>
      <c r="D111" s="139"/>
      <c r="E111" s="139"/>
      <c r="F111" s="139"/>
      <c r="G111" s="139"/>
      <c r="H111" s="139"/>
      <c r="I111" s="139"/>
    </row>
    <row r="112" spans="2:9" ht="15" customHeight="1" thickBot="1">
      <c r="B112" s="18"/>
      <c r="C112" s="18"/>
      <c r="D112" s="139" t="s">
        <v>0</v>
      </c>
      <c r="E112" s="139" t="s">
        <v>1</v>
      </c>
      <c r="F112" s="139" t="s">
        <v>2</v>
      </c>
      <c r="G112" s="139" t="s">
        <v>3</v>
      </c>
      <c r="H112" s="139" t="s">
        <v>4</v>
      </c>
      <c r="I112" s="139" t="s">
        <v>5</v>
      </c>
    </row>
    <row r="113" spans="2:11" ht="80.5" customHeight="1">
      <c r="B113" s="71" t="s">
        <v>6</v>
      </c>
      <c r="C113" s="86" t="s">
        <v>7</v>
      </c>
      <c r="D113" s="88" t="str">
        <f>D35</f>
        <v>Near-term projected 30-year U.S. Treasury bond yield (Q4 2024 - Q4 2025)</v>
      </c>
      <c r="E113" s="72" t="s">
        <v>57</v>
      </c>
      <c r="F113" s="72" t="s">
        <v>58</v>
      </c>
      <c r="G113" s="72" t="s">
        <v>59</v>
      </c>
      <c r="H113" s="73" t="s">
        <v>60</v>
      </c>
      <c r="I113" s="73" t="s">
        <v>61</v>
      </c>
    </row>
    <row r="114" spans="2:11" ht="15" customHeight="1">
      <c r="B114" s="74"/>
      <c r="C114" s="74"/>
      <c r="D114" s="18"/>
      <c r="E114" s="18"/>
      <c r="F114" s="18"/>
      <c r="G114" s="35"/>
      <c r="H114" s="35"/>
      <c r="I114" s="35"/>
    </row>
    <row r="115" spans="2:11" ht="15" customHeight="1">
      <c r="B115" s="29" t="s">
        <v>1177</v>
      </c>
      <c r="C115" s="30" t="s">
        <v>457</v>
      </c>
      <c r="D115" s="36">
        <f>D37</f>
        <v>4.3200000000000002E-2</v>
      </c>
      <c r="E115" s="75">
        <f>E89</f>
        <v>0.74953268742027135</v>
      </c>
      <c r="F115" s="36">
        <f>'AEB-7 Market Return'!$C$7</f>
        <v>0.12654516796751272</v>
      </c>
      <c r="G115" s="38">
        <f>F115-D115</f>
        <v>8.334516796751272E-2</v>
      </c>
      <c r="H115" s="76">
        <f>IFERROR(G115*E115+D115, "")</f>
        <v>0.10566992773018373</v>
      </c>
      <c r="I115" s="76">
        <f>IFERROR((0.25*G115)+(0.75*E115*G115)+D115, "")</f>
        <v>0.11088873778951598</v>
      </c>
      <c r="K115" s="146"/>
    </row>
    <row r="116" spans="2:11" ht="15" customHeight="1">
      <c r="B116" s="22" t="s">
        <v>1178</v>
      </c>
      <c r="C116" s="23" t="s">
        <v>550</v>
      </c>
      <c r="D116" s="36">
        <f>D38</f>
        <v>4.3200000000000002E-2</v>
      </c>
      <c r="E116" s="75">
        <f>E90</f>
        <v>0.80249913607448831</v>
      </c>
      <c r="F116" s="36">
        <f>'AEB-7 Market Return'!$C$7</f>
        <v>0.12654516796751272</v>
      </c>
      <c r="G116" s="38">
        <f t="shared" ref="G116:G119" si="17">F116-D116</f>
        <v>8.334516796751272E-2</v>
      </c>
      <c r="H116" s="76">
        <f t="shared" ref="H116:H119" si="18">IFERROR(G116*E116+D116, "")</f>
        <v>0.11008442528991208</v>
      </c>
      <c r="I116" s="76">
        <f t="shared" ref="I116:I119" si="19">IFERROR((0.25*G116)+(0.75*E116*G116)+D116, "")</f>
        <v>0.11419961095931223</v>
      </c>
      <c r="K116" s="37"/>
    </row>
    <row r="117" spans="2:11" ht="15" customHeight="1">
      <c r="B117" s="22" t="s">
        <v>1179</v>
      </c>
      <c r="C117" s="23" t="s">
        <v>1180</v>
      </c>
      <c r="D117" s="36">
        <f>D39</f>
        <v>4.3200000000000002E-2</v>
      </c>
      <c r="E117" s="75">
        <f>E91</f>
        <v>0.69472985146107535</v>
      </c>
      <c r="F117" s="36">
        <f>'AEB-7 Market Return'!$C$7</f>
        <v>0.12654516796751272</v>
      </c>
      <c r="G117" s="38">
        <f t="shared" si="17"/>
        <v>8.334516796751272E-2</v>
      </c>
      <c r="H117" s="76">
        <f t="shared" si="18"/>
        <v>0.10110237616206849</v>
      </c>
      <c r="I117" s="76">
        <f t="shared" si="19"/>
        <v>0.10746307411342955</v>
      </c>
      <c r="K117" s="37"/>
    </row>
    <row r="118" spans="2:11" ht="15" customHeight="1">
      <c r="B118" s="22" t="s">
        <v>1181</v>
      </c>
      <c r="C118" s="23" t="s">
        <v>1182</v>
      </c>
      <c r="D118" s="36">
        <f>D40</f>
        <v>4.3200000000000002E-2</v>
      </c>
      <c r="E118" s="75">
        <f>E92</f>
        <v>0.77190126626246891</v>
      </c>
      <c r="F118" s="36">
        <f>'AEB-7 Market Return'!$C$7</f>
        <v>0.12654516796751272</v>
      </c>
      <c r="G118" s="38">
        <f t="shared" si="17"/>
        <v>8.334516796751272E-2</v>
      </c>
      <c r="H118" s="76">
        <f t="shared" si="18"/>
        <v>0.10753424069098123</v>
      </c>
      <c r="I118" s="76">
        <f t="shared" si="19"/>
        <v>0.11228697251011412</v>
      </c>
      <c r="K118" s="37"/>
    </row>
    <row r="119" spans="2:11" ht="15" customHeight="1">
      <c r="B119" s="29" t="s">
        <v>1183</v>
      </c>
      <c r="C119" s="30" t="s">
        <v>1184</v>
      </c>
      <c r="D119" s="36">
        <f>D41</f>
        <v>4.3200000000000002E-2</v>
      </c>
      <c r="E119" s="75">
        <f>E93</f>
        <v>0.76642831161244285</v>
      </c>
      <c r="F119" s="36">
        <f>'AEB-7 Market Return'!$C$7</f>
        <v>0.12654516796751272</v>
      </c>
      <c r="G119" s="38">
        <f t="shared" si="17"/>
        <v>8.334516796751272E-2</v>
      </c>
      <c r="H119" s="76">
        <f t="shared" si="18"/>
        <v>0.10707809636639623</v>
      </c>
      <c r="I119" s="76">
        <f t="shared" si="19"/>
        <v>0.11194486426667535</v>
      </c>
      <c r="K119" s="37"/>
    </row>
    <row r="120" spans="2:11" ht="15" customHeight="1">
      <c r="B120" s="74" t="s">
        <v>41</v>
      </c>
      <c r="C120" s="78"/>
      <c r="D120" s="78"/>
      <c r="E120" s="79"/>
      <c r="F120" s="80"/>
      <c r="G120" s="80"/>
      <c r="H120" s="80">
        <f>AVERAGE(H115:H119)</f>
        <v>0.10629381324790836</v>
      </c>
      <c r="I120" s="80">
        <f>AVERAGE(I115:I119)</f>
        <v>0.11135665192780944</v>
      </c>
    </row>
    <row r="121" spans="2:11" ht="15" customHeight="1" thickBot="1">
      <c r="B121" s="81" t="s">
        <v>42</v>
      </c>
      <c r="C121" s="82"/>
      <c r="D121" s="82"/>
      <c r="E121" s="83"/>
      <c r="F121" s="84"/>
      <c r="G121" s="84"/>
      <c r="H121" s="84">
        <f>MEDIAN(H115:H119)</f>
        <v>0.10707809636639623</v>
      </c>
      <c r="I121" s="84">
        <f>MEDIAN(I115:I119)</f>
        <v>0.11194486426667535</v>
      </c>
    </row>
    <row r="122" spans="2:11" ht="15" customHeight="1">
      <c r="G122" s="31"/>
      <c r="H122" s="31"/>
      <c r="I122" s="31"/>
    </row>
    <row r="123" spans="2:11" ht="15" customHeight="1">
      <c r="B123" s="27" t="s">
        <v>15</v>
      </c>
    </row>
    <row r="124" spans="2:11" ht="15" customHeight="1">
      <c r="B124" s="21" t="str">
        <f>B46</f>
        <v>[1] Blue Chip Financial Forecasts, Vol. 43, No. 7, June 30, 2024, at 2</v>
      </c>
    </row>
    <row r="125" spans="2:11" ht="15" customHeight="1">
      <c r="B125" s="21" t="str">
        <f>B99</f>
        <v>[2] Source: Bloomberg Professional</v>
      </c>
    </row>
    <row r="126" spans="2:11" ht="15" customHeight="1">
      <c r="B126" s="21" t="str">
        <f>$B$22</f>
        <v>[3] Source: Market Return</v>
      </c>
    </row>
    <row r="127" spans="2:11" ht="15" customHeight="1">
      <c r="B127" s="21" t="s">
        <v>62</v>
      </c>
    </row>
    <row r="128" spans="2:11" ht="15" customHeight="1">
      <c r="B128" s="85" t="s">
        <v>63</v>
      </c>
    </row>
    <row r="129" spans="2:11" ht="15" customHeight="1">
      <c r="B129" s="85" t="s">
        <v>64</v>
      </c>
    </row>
    <row r="132" spans="2:11" ht="15" customHeight="1">
      <c r="B132" s="534" t="s">
        <v>53</v>
      </c>
      <c r="C132" s="534"/>
      <c r="D132" s="534"/>
      <c r="E132" s="534"/>
      <c r="F132" s="534"/>
      <c r="G132" s="534"/>
      <c r="H132" s="534"/>
      <c r="I132" s="534"/>
    </row>
    <row r="133" spans="2:11" ht="15" customHeight="1">
      <c r="B133" s="534" t="s">
        <v>69</v>
      </c>
      <c r="C133" s="534"/>
      <c r="D133" s="534"/>
      <c r="E133" s="534"/>
      <c r="F133" s="534"/>
      <c r="G133" s="534"/>
      <c r="H133" s="534"/>
      <c r="I133" s="534"/>
    </row>
    <row r="134" spans="2:11" ht="15" customHeight="1">
      <c r="B134" s="140"/>
      <c r="C134" s="140"/>
      <c r="D134" s="140"/>
      <c r="E134" s="140"/>
      <c r="F134" s="140"/>
      <c r="G134" s="140"/>
      <c r="H134" s="140"/>
      <c r="I134" s="140"/>
    </row>
    <row r="135" spans="2:11" ht="15" customHeight="1">
      <c r="B135" s="533" t="s">
        <v>55</v>
      </c>
      <c r="C135" s="533"/>
      <c r="D135" s="533"/>
      <c r="E135" s="533"/>
      <c r="F135" s="533"/>
      <c r="G135" s="533"/>
      <c r="H135" s="533"/>
      <c r="I135" s="533"/>
    </row>
    <row r="136" spans="2:11" ht="15" customHeight="1">
      <c r="B136" s="533" t="s">
        <v>56</v>
      </c>
      <c r="C136" s="533"/>
      <c r="D136" s="533"/>
      <c r="E136" s="533"/>
      <c r="F136" s="533"/>
      <c r="G136" s="533"/>
      <c r="H136" s="533"/>
      <c r="I136" s="533"/>
    </row>
    <row r="137" spans="2:11" ht="15" customHeight="1">
      <c r="B137" s="139"/>
      <c r="C137" s="139"/>
      <c r="D137" s="139"/>
      <c r="E137" s="139"/>
      <c r="F137" s="139"/>
      <c r="G137" s="139"/>
      <c r="H137" s="139"/>
      <c r="I137" s="139"/>
    </row>
    <row r="138" spans="2:11" ht="15" customHeight="1" thickBot="1">
      <c r="B138" s="18"/>
      <c r="C138" s="18"/>
      <c r="D138" s="139" t="s">
        <v>0</v>
      </c>
      <c r="E138" s="139" t="s">
        <v>1</v>
      </c>
      <c r="F138" s="139" t="s">
        <v>2</v>
      </c>
      <c r="G138" s="139" t="s">
        <v>3</v>
      </c>
      <c r="H138" s="139" t="s">
        <v>4</v>
      </c>
      <c r="I138" s="139" t="s">
        <v>5</v>
      </c>
    </row>
    <row r="139" spans="2:11" ht="60" customHeight="1">
      <c r="B139" s="71" t="s">
        <v>6</v>
      </c>
      <c r="C139" s="86" t="s">
        <v>7</v>
      </c>
      <c r="D139" s="88" t="str">
        <f>D61</f>
        <v>Projected 30-year U.S. Treasury bond yield (2026 - 2030)</v>
      </c>
      <c r="E139" s="72" t="s">
        <v>57</v>
      </c>
      <c r="F139" s="72" t="s">
        <v>58</v>
      </c>
      <c r="G139" s="72" t="s">
        <v>59</v>
      </c>
      <c r="H139" s="73" t="s">
        <v>60</v>
      </c>
      <c r="I139" s="73" t="s">
        <v>61</v>
      </c>
    </row>
    <row r="140" spans="2:11" ht="15" customHeight="1">
      <c r="B140" s="74"/>
      <c r="C140" s="74"/>
      <c r="D140" s="18"/>
      <c r="E140" s="18"/>
      <c r="F140" s="18"/>
      <c r="G140" s="35"/>
      <c r="H140" s="35"/>
      <c r="I140" s="35"/>
    </row>
    <row r="141" spans="2:11" ht="15" customHeight="1">
      <c r="B141" s="29" t="s">
        <v>1177</v>
      </c>
      <c r="C141" s="30" t="s">
        <v>457</v>
      </c>
      <c r="D141" s="36">
        <f>D63</f>
        <v>4.2999999999999997E-2</v>
      </c>
      <c r="E141" s="75">
        <f>E115</f>
        <v>0.74953268742027135</v>
      </c>
      <c r="F141" s="36">
        <f>'AEB-7 Market Return'!$C$7</f>
        <v>0.12654516796751272</v>
      </c>
      <c r="G141" s="38">
        <f>F141-D141</f>
        <v>8.3545167967512726E-2</v>
      </c>
      <c r="H141" s="76">
        <f>IFERROR(G141*E141+D141, "")</f>
        <v>0.10561983426766777</v>
      </c>
      <c r="I141" s="76">
        <f>IFERROR((0.25*G141)+(0.75*E141*G141)+D141, "")</f>
        <v>0.11085116769262902</v>
      </c>
      <c r="K141" s="37"/>
    </row>
    <row r="142" spans="2:11" ht="15" customHeight="1">
      <c r="B142" s="22" t="s">
        <v>1178</v>
      </c>
      <c r="C142" s="23" t="s">
        <v>550</v>
      </c>
      <c r="D142" s="36">
        <f>D64</f>
        <v>4.2999999999999997E-2</v>
      </c>
      <c r="E142" s="75">
        <f>E116</f>
        <v>0.80249913607448831</v>
      </c>
      <c r="F142" s="36">
        <f>'AEB-7 Market Return'!$C$7</f>
        <v>0.12654516796751272</v>
      </c>
      <c r="G142" s="38">
        <f t="shared" ref="G142:G145" si="20">F142-D142</f>
        <v>8.3545167967512726E-2</v>
      </c>
      <c r="H142" s="76">
        <f t="shared" ref="H142:H145" si="21">IFERROR(G142*E142+D142, "")</f>
        <v>0.11004492511712698</v>
      </c>
      <c r="I142" s="76">
        <f t="shared" ref="I142:I145" si="22">IFERROR((0.25*G142)+(0.75*E142*G142)+D142, "")</f>
        <v>0.11416998582972342</v>
      </c>
      <c r="K142" s="37"/>
    </row>
    <row r="143" spans="2:11" ht="15" customHeight="1">
      <c r="B143" s="22" t="s">
        <v>1179</v>
      </c>
      <c r="C143" s="23" t="s">
        <v>1180</v>
      </c>
      <c r="D143" s="36">
        <f>D65</f>
        <v>4.2999999999999997E-2</v>
      </c>
      <c r="E143" s="75">
        <f>E117</f>
        <v>0.69472985146107535</v>
      </c>
      <c r="F143" s="36">
        <f>'AEB-7 Market Return'!$C$7</f>
        <v>0.12654516796751272</v>
      </c>
      <c r="G143" s="38">
        <f t="shared" si="20"/>
        <v>8.3545167967512726E-2</v>
      </c>
      <c r="H143" s="76">
        <f t="shared" si="21"/>
        <v>0.10104132213236069</v>
      </c>
      <c r="I143" s="76">
        <f t="shared" si="22"/>
        <v>0.1074172835911487</v>
      </c>
      <c r="K143" s="37"/>
    </row>
    <row r="144" spans="2:11" ht="15" customHeight="1">
      <c r="B144" s="22" t="s">
        <v>1181</v>
      </c>
      <c r="C144" s="23" t="s">
        <v>1182</v>
      </c>
      <c r="D144" s="36">
        <f>D66</f>
        <v>4.2999999999999997E-2</v>
      </c>
      <c r="E144" s="75">
        <f>E118</f>
        <v>0.77190126626246891</v>
      </c>
      <c r="F144" s="36">
        <f>'AEB-7 Market Return'!$C$7</f>
        <v>0.12654516796751272</v>
      </c>
      <c r="G144" s="38">
        <f t="shared" si="20"/>
        <v>8.3545167967512726E-2</v>
      </c>
      <c r="H144" s="76">
        <f t="shared" si="21"/>
        <v>0.10748862094423373</v>
      </c>
      <c r="I144" s="76">
        <f t="shared" si="22"/>
        <v>0.11225275770005348</v>
      </c>
      <c r="K144" s="37"/>
    </row>
    <row r="145" spans="2:11" ht="15" customHeight="1">
      <c r="B145" s="29" t="s">
        <v>1183</v>
      </c>
      <c r="C145" s="30" t="s">
        <v>1184</v>
      </c>
      <c r="D145" s="36">
        <f>D67</f>
        <v>4.2999999999999997E-2</v>
      </c>
      <c r="E145" s="75">
        <f>E119</f>
        <v>0.76642831161244285</v>
      </c>
      <c r="F145" s="36">
        <f>'AEB-7 Market Return'!$C$7</f>
        <v>0.12654516796751272</v>
      </c>
      <c r="G145" s="38">
        <f t="shared" si="20"/>
        <v>8.3545167967512726E-2</v>
      </c>
      <c r="H145" s="76">
        <f t="shared" si="21"/>
        <v>0.10703138202871872</v>
      </c>
      <c r="I145" s="76">
        <f t="shared" si="22"/>
        <v>0.11190982851341721</v>
      </c>
      <c r="K145" s="37"/>
    </row>
    <row r="146" spans="2:11" ht="15" customHeight="1">
      <c r="B146" s="74" t="s">
        <v>41</v>
      </c>
      <c r="C146" s="78"/>
      <c r="D146" s="78"/>
      <c r="E146" s="79"/>
      <c r="F146" s="80"/>
      <c r="G146" s="80"/>
      <c r="H146" s="80">
        <f>AVERAGE(H141:H145)</f>
        <v>0.10624521689802158</v>
      </c>
      <c r="I146" s="80">
        <f>AVERAGE(I141:I145)</f>
        <v>0.11132020466539436</v>
      </c>
    </row>
    <row r="147" spans="2:11" ht="15" customHeight="1" thickBot="1">
      <c r="B147" s="81" t="s">
        <v>42</v>
      </c>
      <c r="C147" s="82"/>
      <c r="D147" s="82"/>
      <c r="E147" s="83"/>
      <c r="F147" s="84"/>
      <c r="G147" s="84"/>
      <c r="H147" s="84">
        <f>MEDIAN(H141:H145)</f>
        <v>0.10703138202871872</v>
      </c>
      <c r="I147" s="84">
        <f>MEDIAN(I141:I145)</f>
        <v>0.11190982851341721</v>
      </c>
    </row>
    <row r="148" spans="2:11" ht="15" customHeight="1">
      <c r="G148" s="31"/>
      <c r="H148" s="31"/>
      <c r="I148" s="31"/>
    </row>
    <row r="149" spans="2:11" ht="15" customHeight="1">
      <c r="B149" s="27" t="s">
        <v>15</v>
      </c>
      <c r="G149" s="31"/>
      <c r="H149" s="31"/>
      <c r="I149" s="31"/>
    </row>
    <row r="150" spans="2:11" ht="15" customHeight="1">
      <c r="B150" s="85" t="str">
        <f>B72</f>
        <v>[1] Blue Chip Financial Forecasts, Vol. 43, No. 6, May 31, 2024, at 14</v>
      </c>
      <c r="G150" s="31"/>
      <c r="H150" s="31"/>
      <c r="I150" s="31"/>
    </row>
    <row r="151" spans="2:11" ht="15" customHeight="1">
      <c r="B151" s="21" t="str">
        <f>B125</f>
        <v>[2] Source: Bloomberg Professional</v>
      </c>
      <c r="G151" s="31"/>
      <c r="H151" s="31"/>
      <c r="I151" s="31"/>
    </row>
    <row r="152" spans="2:11" ht="15" customHeight="1">
      <c r="B152" s="21" t="str">
        <f>$B$22</f>
        <v>[3] Source: Market Return</v>
      </c>
      <c r="G152" s="31"/>
      <c r="H152" s="31"/>
      <c r="I152" s="31"/>
    </row>
    <row r="153" spans="2:11" ht="15" customHeight="1">
      <c r="B153" s="21" t="s">
        <v>62</v>
      </c>
      <c r="G153" s="31"/>
      <c r="H153" s="31"/>
      <c r="I153" s="31"/>
    </row>
    <row r="154" spans="2:11" ht="15" customHeight="1">
      <c r="B154" s="85" t="s">
        <v>63</v>
      </c>
      <c r="G154" s="31"/>
      <c r="H154" s="31"/>
      <c r="I154" s="31"/>
    </row>
    <row r="155" spans="2:11" ht="15" customHeight="1">
      <c r="B155" s="85" t="s">
        <v>64</v>
      </c>
      <c r="G155" s="31"/>
      <c r="H155" s="31"/>
      <c r="I155" s="31"/>
    </row>
    <row r="158" spans="2:11" ht="15" customHeight="1">
      <c r="B158" s="534" t="s">
        <v>53</v>
      </c>
      <c r="C158" s="534"/>
      <c r="D158" s="534"/>
      <c r="E158" s="534"/>
      <c r="F158" s="534"/>
      <c r="G158" s="534"/>
      <c r="H158" s="534"/>
      <c r="I158" s="534"/>
    </row>
    <row r="159" spans="2:11" ht="15" customHeight="1">
      <c r="B159" s="534" t="s">
        <v>70</v>
      </c>
      <c r="C159" s="534"/>
      <c r="D159" s="534"/>
      <c r="E159" s="534"/>
      <c r="F159" s="534"/>
      <c r="G159" s="534"/>
      <c r="H159" s="534"/>
      <c r="I159" s="534"/>
    </row>
    <row r="160" spans="2:11" ht="15" customHeight="1">
      <c r="B160" s="140"/>
      <c r="C160" s="140"/>
      <c r="D160" s="140"/>
      <c r="E160" s="140"/>
      <c r="F160" s="140"/>
      <c r="G160" s="140"/>
      <c r="H160" s="140"/>
      <c r="I160" s="140"/>
    </row>
    <row r="161" spans="2:12" ht="15" customHeight="1">
      <c r="B161" s="533" t="s">
        <v>55</v>
      </c>
      <c r="C161" s="533"/>
      <c r="D161" s="533"/>
      <c r="E161" s="533"/>
      <c r="F161" s="533"/>
      <c r="G161" s="533"/>
      <c r="H161" s="533"/>
      <c r="I161" s="533"/>
    </row>
    <row r="162" spans="2:12" ht="15" customHeight="1">
      <c r="B162" s="533" t="s">
        <v>56</v>
      </c>
      <c r="C162" s="533"/>
      <c r="D162" s="533"/>
      <c r="E162" s="533"/>
      <c r="F162" s="533"/>
      <c r="G162" s="533"/>
      <c r="H162" s="533"/>
      <c r="I162" s="533"/>
    </row>
    <row r="163" spans="2:12" ht="15" customHeight="1">
      <c r="B163" s="139"/>
      <c r="C163" s="139"/>
      <c r="D163" s="139"/>
      <c r="E163" s="139"/>
      <c r="F163" s="139"/>
      <c r="G163" s="139"/>
      <c r="H163" s="139"/>
      <c r="I163" s="139"/>
    </row>
    <row r="164" spans="2:12" ht="15" customHeight="1" thickBot="1">
      <c r="B164" s="18"/>
      <c r="C164" s="18"/>
      <c r="D164" s="35" t="s">
        <v>0</v>
      </c>
      <c r="E164" s="35" t="s">
        <v>1</v>
      </c>
      <c r="F164" s="35" t="s">
        <v>2</v>
      </c>
      <c r="G164" s="35" t="s">
        <v>3</v>
      </c>
      <c r="H164" s="35" t="s">
        <v>4</v>
      </c>
      <c r="I164" s="35" t="s">
        <v>5</v>
      </c>
    </row>
    <row r="165" spans="2:12" ht="60" customHeight="1">
      <c r="B165" s="71" t="s">
        <v>6</v>
      </c>
      <c r="C165" s="86" t="s">
        <v>7</v>
      </c>
      <c r="D165" s="88" t="str">
        <f>D87</f>
        <v>Current 30-day average of 30-year Treasury bond yield</v>
      </c>
      <c r="E165" s="72" t="s">
        <v>57</v>
      </c>
      <c r="F165" s="72" t="s">
        <v>58</v>
      </c>
      <c r="G165" s="72" t="s">
        <v>59</v>
      </c>
      <c r="H165" s="73" t="s">
        <v>60</v>
      </c>
      <c r="I165" s="73" t="s">
        <v>61</v>
      </c>
    </row>
    <row r="166" spans="2:12" ht="15" customHeight="1">
      <c r="B166" s="74"/>
      <c r="C166" s="74"/>
      <c r="D166" s="18"/>
      <c r="E166" s="18"/>
      <c r="F166" s="18"/>
      <c r="G166" s="35"/>
      <c r="H166" s="35"/>
      <c r="I166" s="35"/>
    </row>
    <row r="167" spans="2:12" ht="15" customHeight="1">
      <c r="B167" s="29" t="s">
        <v>1177</v>
      </c>
      <c r="C167" s="30" t="s">
        <v>457</v>
      </c>
      <c r="D167" s="26">
        <f>D89</f>
        <v>4.5033333333333328E-2</v>
      </c>
      <c r="E167" s="87">
        <f>'AEB-6 LT Beta'!N7</f>
        <v>0.75</v>
      </c>
      <c r="F167" s="36">
        <f>'AEB-7 Market Return'!$C$7</f>
        <v>0.12654516796751272</v>
      </c>
      <c r="G167" s="38">
        <f>F167-D167</f>
        <v>8.1511834634179395E-2</v>
      </c>
      <c r="H167" s="76">
        <f>IFERROR(G167*E167+D167, "")</f>
        <v>0.10616720930896788</v>
      </c>
      <c r="I167" s="76">
        <f>IFERROR((0.25*G167)+(0.75*E167*G167)+D167, "")</f>
        <v>0.11126169897360409</v>
      </c>
      <c r="K167" s="18"/>
    </row>
    <row r="168" spans="2:12" ht="15" customHeight="1">
      <c r="B168" s="22" t="s">
        <v>1178</v>
      </c>
      <c r="C168" s="23" t="s">
        <v>550</v>
      </c>
      <c r="D168" s="26">
        <f>D90</f>
        <v>4.5033333333333328E-2</v>
      </c>
      <c r="E168" s="87">
        <f>'AEB-6 LT Beta'!N8</f>
        <v>0.75555555555555542</v>
      </c>
      <c r="F168" s="36">
        <f>'AEB-7 Market Return'!$C$7</f>
        <v>0.12654516796751272</v>
      </c>
      <c r="G168" s="38">
        <f t="shared" ref="G168:G171" si="23">F168-D168</f>
        <v>8.1511834634179395E-2</v>
      </c>
      <c r="H168" s="76">
        <f t="shared" ref="H168:H171" si="24">IFERROR(G168*E168+D168, "")</f>
        <v>0.10662005283471331</v>
      </c>
      <c r="I168" s="76">
        <f t="shared" ref="I168:I171" si="25">IFERROR((0.25*G168)+(0.75*E168*G168)+D168, "")</f>
        <v>0.11160133161791316</v>
      </c>
      <c r="K168" s="18"/>
    </row>
    <row r="169" spans="2:12" ht="15" customHeight="1">
      <c r="B169" s="22" t="s">
        <v>1179</v>
      </c>
      <c r="C169" s="23" t="s">
        <v>1180</v>
      </c>
      <c r="D169" s="26">
        <f>D91</f>
        <v>4.5033333333333328E-2</v>
      </c>
      <c r="E169" s="87">
        <f>'AEB-6 LT Beta'!N9</f>
        <v>0.70909090909090899</v>
      </c>
      <c r="F169" s="36">
        <f>'AEB-7 Market Return'!$C$7</f>
        <v>0.12654516796751272</v>
      </c>
      <c r="G169" s="38">
        <f t="shared" si="23"/>
        <v>8.1511834634179395E-2</v>
      </c>
      <c r="H169" s="76">
        <f t="shared" si="24"/>
        <v>0.10283263425575143</v>
      </c>
      <c r="I169" s="76">
        <f t="shared" si="25"/>
        <v>0.10876076768369176</v>
      </c>
      <c r="K169" s="18"/>
    </row>
    <row r="170" spans="2:12" ht="15" customHeight="1">
      <c r="B170" s="22" t="s">
        <v>1181</v>
      </c>
      <c r="C170" s="23" t="s">
        <v>1182</v>
      </c>
      <c r="D170" s="26">
        <f>D92</f>
        <v>4.5033333333333328E-2</v>
      </c>
      <c r="E170" s="87">
        <f>'AEB-6 LT Beta'!N10</f>
        <v>0.73749999999999993</v>
      </c>
      <c r="F170" s="36">
        <f>'AEB-7 Market Return'!$C$7</f>
        <v>0.12654516796751272</v>
      </c>
      <c r="G170" s="38">
        <f t="shared" si="23"/>
        <v>8.1511834634179395E-2</v>
      </c>
      <c r="H170" s="76">
        <f t="shared" si="24"/>
        <v>0.10514831137604062</v>
      </c>
      <c r="I170" s="76">
        <f t="shared" si="25"/>
        <v>0.11049752552390865</v>
      </c>
      <c r="K170" s="18"/>
    </row>
    <row r="171" spans="2:12" ht="15" customHeight="1">
      <c r="B171" s="29" t="s">
        <v>1183</v>
      </c>
      <c r="C171" s="30" t="s">
        <v>1184</v>
      </c>
      <c r="D171" s="26">
        <f>D93</f>
        <v>4.5033333333333328E-2</v>
      </c>
      <c r="E171" s="87">
        <f>'AEB-6 LT Beta'!N11</f>
        <v>0.74090909090909096</v>
      </c>
      <c r="F171" s="36">
        <f>'AEB-7 Market Return'!$C$7</f>
        <v>0.12654516796751272</v>
      </c>
      <c r="G171" s="38">
        <f t="shared" si="23"/>
        <v>8.1511834634179395E-2</v>
      </c>
      <c r="H171" s="76">
        <f t="shared" si="24"/>
        <v>0.10542619263047534</v>
      </c>
      <c r="I171" s="76">
        <f t="shared" si="25"/>
        <v>0.11070593646473469</v>
      </c>
      <c r="K171" s="18"/>
    </row>
    <row r="172" spans="2:12" ht="15" customHeight="1">
      <c r="B172" s="74" t="s">
        <v>41</v>
      </c>
      <c r="C172" s="78"/>
      <c r="D172" s="78"/>
      <c r="E172" s="79"/>
      <c r="F172" s="80"/>
      <c r="G172" s="80"/>
      <c r="H172" s="80">
        <f>AVERAGE(H167:H171)</f>
        <v>0.10523888008118971</v>
      </c>
      <c r="I172" s="80">
        <f>AVERAGE(I167:I171)</f>
        <v>0.11056545205277046</v>
      </c>
      <c r="K172" s="32"/>
      <c r="L172" s="32"/>
    </row>
    <row r="173" spans="2:12" ht="15" customHeight="1" thickBot="1">
      <c r="B173" s="81" t="s">
        <v>42</v>
      </c>
      <c r="C173" s="82"/>
      <c r="D173" s="82"/>
      <c r="E173" s="83"/>
      <c r="F173" s="84"/>
      <c r="G173" s="84"/>
      <c r="H173" s="84">
        <f>MEDIAN(H167:H171)</f>
        <v>0.10542619263047534</v>
      </c>
      <c r="I173" s="84">
        <f>MEDIAN(I167:I171)</f>
        <v>0.11070593646473469</v>
      </c>
      <c r="K173" s="32"/>
      <c r="L173" s="32"/>
    </row>
    <row r="174" spans="2:12" ht="15" customHeight="1">
      <c r="G174" s="31"/>
      <c r="H174" s="31"/>
      <c r="I174" s="31"/>
    </row>
    <row r="175" spans="2:12" ht="15" customHeight="1">
      <c r="B175" s="27" t="s">
        <v>15</v>
      </c>
    </row>
    <row r="176" spans="2:12" ht="15" customHeight="1">
      <c r="B176" s="85" t="str">
        <f>B98</f>
        <v>[1] Bloomberg Professional 30-day average as of June 30 2024</v>
      </c>
    </row>
    <row r="177" spans="2:9" ht="15" customHeight="1">
      <c r="B177" s="21" t="s">
        <v>1461</v>
      </c>
    </row>
    <row r="178" spans="2:9" ht="15" customHeight="1">
      <c r="B178" s="21" t="str">
        <f>$B$22</f>
        <v>[3] Source: Market Return</v>
      </c>
    </row>
    <row r="179" spans="2:9" ht="15" customHeight="1">
      <c r="B179" s="21" t="s">
        <v>62</v>
      </c>
    </row>
    <row r="180" spans="2:9" ht="15" customHeight="1">
      <c r="B180" s="85" t="s">
        <v>63</v>
      </c>
    </row>
    <row r="181" spans="2:9" ht="15" customHeight="1">
      <c r="B181" s="85" t="s">
        <v>64</v>
      </c>
    </row>
    <row r="184" spans="2:9" ht="15" customHeight="1">
      <c r="B184" s="534" t="s">
        <v>53</v>
      </c>
      <c r="C184" s="534"/>
      <c r="D184" s="534"/>
      <c r="E184" s="534"/>
      <c r="F184" s="534"/>
      <c r="G184" s="534"/>
      <c r="H184" s="534"/>
      <c r="I184" s="534"/>
    </row>
    <row r="185" spans="2:9" ht="15" customHeight="1">
      <c r="B185" s="534" t="s">
        <v>71</v>
      </c>
      <c r="C185" s="534"/>
      <c r="D185" s="534"/>
      <c r="E185" s="534"/>
      <c r="F185" s="534"/>
      <c r="G185" s="534"/>
      <c r="H185" s="534"/>
      <c r="I185" s="534"/>
    </row>
    <row r="186" spans="2:9" ht="15" customHeight="1">
      <c r="B186" s="140"/>
      <c r="C186" s="140"/>
      <c r="D186" s="140"/>
      <c r="E186" s="140"/>
      <c r="F186" s="140"/>
      <c r="G186" s="140"/>
      <c r="H186" s="140"/>
      <c r="I186" s="140"/>
    </row>
    <row r="187" spans="2:9" ht="15" customHeight="1">
      <c r="B187" s="533" t="s">
        <v>55</v>
      </c>
      <c r="C187" s="533"/>
      <c r="D187" s="533"/>
      <c r="E187" s="533"/>
      <c r="F187" s="533"/>
      <c r="G187" s="533"/>
      <c r="H187" s="533"/>
      <c r="I187" s="533"/>
    </row>
    <row r="188" spans="2:9" ht="15" customHeight="1">
      <c r="B188" s="533" t="s">
        <v>56</v>
      </c>
      <c r="C188" s="533"/>
      <c r="D188" s="533"/>
      <c r="E188" s="533"/>
      <c r="F188" s="533"/>
      <c r="G188" s="533"/>
      <c r="H188" s="533"/>
      <c r="I188" s="533"/>
    </row>
    <row r="189" spans="2:9" ht="15" customHeight="1">
      <c r="B189" s="139"/>
      <c r="C189" s="139"/>
      <c r="D189" s="139"/>
      <c r="E189" s="139"/>
      <c r="F189" s="139"/>
      <c r="G189" s="139"/>
      <c r="H189" s="139"/>
      <c r="I189" s="139"/>
    </row>
    <row r="190" spans="2:9" ht="15" customHeight="1" thickBot="1">
      <c r="B190" s="18"/>
      <c r="C190" s="18"/>
      <c r="D190" s="35" t="s">
        <v>0</v>
      </c>
      <c r="E190" s="35" t="s">
        <v>1</v>
      </c>
      <c r="F190" s="35" t="s">
        <v>2</v>
      </c>
      <c r="G190" s="35" t="s">
        <v>3</v>
      </c>
      <c r="H190" s="35" t="s">
        <v>4</v>
      </c>
      <c r="I190" s="35" t="s">
        <v>5</v>
      </c>
    </row>
    <row r="191" spans="2:9" ht="77.5">
      <c r="B191" s="71" t="s">
        <v>6</v>
      </c>
      <c r="C191" s="86" t="s">
        <v>7</v>
      </c>
      <c r="D191" s="88" t="str">
        <f>D113</f>
        <v>Near-term projected 30-year U.S. Treasury bond yield (Q4 2024 - Q4 2025)</v>
      </c>
      <c r="E191" s="72" t="s">
        <v>57</v>
      </c>
      <c r="F191" s="72" t="s">
        <v>58</v>
      </c>
      <c r="G191" s="72" t="s">
        <v>59</v>
      </c>
      <c r="H191" s="73" t="s">
        <v>60</v>
      </c>
      <c r="I191" s="73" t="s">
        <v>61</v>
      </c>
    </row>
    <row r="192" spans="2:9" ht="15" customHeight="1">
      <c r="B192" s="74"/>
      <c r="C192" s="74"/>
      <c r="D192" s="18"/>
      <c r="E192" s="18"/>
      <c r="F192" s="18"/>
      <c r="G192" s="35"/>
      <c r="H192" s="35"/>
      <c r="I192" s="35"/>
    </row>
    <row r="193" spans="2:11" ht="15" customHeight="1">
      <c r="B193" s="29" t="s">
        <v>1177</v>
      </c>
      <c r="C193" s="30" t="s">
        <v>457</v>
      </c>
      <c r="D193" s="36">
        <f>D115</f>
        <v>4.3200000000000002E-2</v>
      </c>
      <c r="E193" s="75">
        <f>E167</f>
        <v>0.75</v>
      </c>
      <c r="F193" s="36">
        <f>'AEB-7 Market Return'!$C$7</f>
        <v>0.12654516796751272</v>
      </c>
      <c r="G193" s="38">
        <f>F193-D193</f>
        <v>8.334516796751272E-2</v>
      </c>
      <c r="H193" s="76">
        <f>IFERROR(G193*E193+D193, "")</f>
        <v>0.10570887597563454</v>
      </c>
      <c r="I193" s="76">
        <f>IFERROR((0.25*G193)+(0.75*E193*G193)+D193, "")</f>
        <v>0.11091794897360409</v>
      </c>
      <c r="K193" s="18"/>
    </row>
    <row r="194" spans="2:11" ht="15" customHeight="1">
      <c r="B194" s="22" t="s">
        <v>1178</v>
      </c>
      <c r="C194" s="23" t="s">
        <v>550</v>
      </c>
      <c r="D194" s="36">
        <f>D116</f>
        <v>4.3200000000000002E-2</v>
      </c>
      <c r="E194" s="75">
        <f>E168</f>
        <v>0.75555555555555542</v>
      </c>
      <c r="F194" s="36">
        <f>'AEB-7 Market Return'!$C$7</f>
        <v>0.12654516796751272</v>
      </c>
      <c r="G194" s="38">
        <f t="shared" ref="G194:G197" si="26">F194-D194</f>
        <v>8.334516796751272E-2</v>
      </c>
      <c r="H194" s="76">
        <f t="shared" ref="H194:H197" si="27">IFERROR(G194*E194+D194, "")</f>
        <v>0.10617190468656516</v>
      </c>
      <c r="I194" s="76">
        <f t="shared" ref="I194:I197" si="28">IFERROR((0.25*G194)+(0.75*E194*G194)+D194, "")</f>
        <v>0.11126522050680204</v>
      </c>
      <c r="K194" s="18"/>
    </row>
    <row r="195" spans="2:11" ht="15" customHeight="1">
      <c r="B195" s="22" t="s">
        <v>1179</v>
      </c>
      <c r="C195" s="23" t="s">
        <v>1180</v>
      </c>
      <c r="D195" s="36">
        <f>D117</f>
        <v>4.3200000000000002E-2</v>
      </c>
      <c r="E195" s="75">
        <f>E169</f>
        <v>0.70909090909090899</v>
      </c>
      <c r="F195" s="36">
        <f>'AEB-7 Market Return'!$C$7</f>
        <v>0.12654516796751272</v>
      </c>
      <c r="G195" s="38">
        <f t="shared" si="26"/>
        <v>8.334516796751272E-2</v>
      </c>
      <c r="H195" s="76">
        <f t="shared" si="27"/>
        <v>0.1022993009224181</v>
      </c>
      <c r="I195" s="76">
        <f t="shared" si="28"/>
        <v>0.10836076768369175</v>
      </c>
      <c r="K195" s="18"/>
    </row>
    <row r="196" spans="2:11" ht="15" customHeight="1">
      <c r="B196" s="22" t="s">
        <v>1181</v>
      </c>
      <c r="C196" s="23" t="s">
        <v>1182</v>
      </c>
      <c r="D196" s="36">
        <f>D118</f>
        <v>4.3200000000000002E-2</v>
      </c>
      <c r="E196" s="75">
        <f>E170</f>
        <v>0.73749999999999993</v>
      </c>
      <c r="F196" s="36">
        <f>'AEB-7 Market Return'!$C$7</f>
        <v>0.12654516796751272</v>
      </c>
      <c r="G196" s="38">
        <f t="shared" si="26"/>
        <v>8.334516796751272E-2</v>
      </c>
      <c r="H196" s="76">
        <f t="shared" si="27"/>
        <v>0.10466706137604062</v>
      </c>
      <c r="I196" s="76">
        <f t="shared" si="28"/>
        <v>0.11013658802390866</v>
      </c>
      <c r="K196" s="18"/>
    </row>
    <row r="197" spans="2:11" ht="15" customHeight="1">
      <c r="B197" s="29" t="s">
        <v>1183</v>
      </c>
      <c r="C197" s="30" t="s">
        <v>1184</v>
      </c>
      <c r="D197" s="36">
        <f>D119</f>
        <v>4.3200000000000002E-2</v>
      </c>
      <c r="E197" s="75">
        <f>E171</f>
        <v>0.74090909090909096</v>
      </c>
      <c r="F197" s="36">
        <f>'AEB-7 Market Return'!$C$7</f>
        <v>0.12654516796751272</v>
      </c>
      <c r="G197" s="38">
        <f t="shared" si="26"/>
        <v>8.334516796751272E-2</v>
      </c>
      <c r="H197" s="76">
        <f t="shared" si="27"/>
        <v>0.10495119263047534</v>
      </c>
      <c r="I197" s="76">
        <f t="shared" si="28"/>
        <v>0.11034968646473468</v>
      </c>
      <c r="K197" s="18"/>
    </row>
    <row r="198" spans="2:11" ht="15" customHeight="1">
      <c r="B198" s="74" t="s">
        <v>41</v>
      </c>
      <c r="C198" s="78"/>
      <c r="D198" s="78"/>
      <c r="E198" s="79"/>
      <c r="F198" s="80"/>
      <c r="G198" s="80"/>
      <c r="H198" s="80">
        <f>AVERAGE(H193:H197)</f>
        <v>0.10475966711822675</v>
      </c>
      <c r="I198" s="80">
        <f>AVERAGE(I193:I197)</f>
        <v>0.11020604233054823</v>
      </c>
    </row>
    <row r="199" spans="2:11" ht="15" customHeight="1" thickBot="1">
      <c r="B199" s="81" t="s">
        <v>42</v>
      </c>
      <c r="C199" s="82"/>
      <c r="D199" s="82"/>
      <c r="E199" s="83"/>
      <c r="F199" s="84"/>
      <c r="G199" s="84"/>
      <c r="H199" s="84">
        <f>MEDIAN(H193:H197)</f>
        <v>0.10495119263047534</v>
      </c>
      <c r="I199" s="84">
        <f>MEDIAN(I193:I197)</f>
        <v>0.11034968646473468</v>
      </c>
    </row>
    <row r="200" spans="2:11" ht="15" customHeight="1">
      <c r="G200" s="31"/>
      <c r="H200" s="31"/>
      <c r="I200" s="31"/>
    </row>
    <row r="201" spans="2:11" ht="15" customHeight="1">
      <c r="B201" s="27" t="s">
        <v>15</v>
      </c>
    </row>
    <row r="202" spans="2:11" ht="15" customHeight="1">
      <c r="B202" s="21" t="str">
        <f>B124</f>
        <v>[1] Blue Chip Financial Forecasts, Vol. 43, No. 7, June 30, 2024, at 2</v>
      </c>
    </row>
    <row r="203" spans="2:11" ht="15" customHeight="1">
      <c r="B203" s="21" t="str">
        <f>B177</f>
        <v>[2] Source: Exhibit AEB-6</v>
      </c>
    </row>
    <row r="204" spans="2:11" ht="15" customHeight="1">
      <c r="B204" s="21" t="str">
        <f>$B$22</f>
        <v>[3] Source: Market Return</v>
      </c>
    </row>
    <row r="205" spans="2:11" ht="15" customHeight="1">
      <c r="B205" s="21" t="s">
        <v>62</v>
      </c>
    </row>
    <row r="206" spans="2:11" ht="15" customHeight="1">
      <c r="B206" s="85" t="s">
        <v>63</v>
      </c>
    </row>
    <row r="207" spans="2:11" ht="15" customHeight="1">
      <c r="B207" s="85" t="s">
        <v>64</v>
      </c>
    </row>
    <row r="210" spans="2:11" ht="15" customHeight="1">
      <c r="B210" s="534" t="s">
        <v>53</v>
      </c>
      <c r="C210" s="534"/>
      <c r="D210" s="534"/>
      <c r="E210" s="534"/>
      <c r="F210" s="534"/>
      <c r="G210" s="534"/>
      <c r="H210" s="534"/>
      <c r="I210" s="534"/>
    </row>
    <row r="211" spans="2:11" ht="15" customHeight="1">
      <c r="B211" s="534" t="s">
        <v>72</v>
      </c>
      <c r="C211" s="534"/>
      <c r="D211" s="534"/>
      <c r="E211" s="534"/>
      <c r="F211" s="534"/>
      <c r="G211" s="534"/>
      <c r="H211" s="534"/>
      <c r="I211" s="534"/>
    </row>
    <row r="212" spans="2:11" ht="15" customHeight="1">
      <c r="B212" s="140"/>
      <c r="C212" s="140"/>
      <c r="D212" s="140"/>
      <c r="E212" s="140"/>
      <c r="F212" s="140"/>
      <c r="G212" s="140"/>
      <c r="H212" s="140"/>
      <c r="I212" s="140"/>
    </row>
    <row r="213" spans="2:11" ht="15" customHeight="1">
      <c r="B213" s="533" t="s">
        <v>55</v>
      </c>
      <c r="C213" s="533"/>
      <c r="D213" s="533"/>
      <c r="E213" s="533"/>
      <c r="F213" s="533"/>
      <c r="G213" s="533"/>
      <c r="H213" s="533"/>
      <c r="I213" s="533"/>
    </row>
    <row r="214" spans="2:11" ht="15" customHeight="1">
      <c r="B214" s="533" t="s">
        <v>56</v>
      </c>
      <c r="C214" s="533"/>
      <c r="D214" s="533"/>
      <c r="E214" s="533"/>
      <c r="F214" s="533"/>
      <c r="G214" s="533"/>
      <c r="H214" s="533"/>
      <c r="I214" s="533"/>
    </row>
    <row r="215" spans="2:11" ht="15" customHeight="1">
      <c r="B215" s="139"/>
      <c r="C215" s="139"/>
      <c r="D215" s="139"/>
      <c r="E215" s="139"/>
      <c r="F215" s="139"/>
      <c r="G215" s="139"/>
      <c r="H215" s="139"/>
      <c r="I215" s="139"/>
    </row>
    <row r="216" spans="2:11" ht="15" customHeight="1" thickBot="1">
      <c r="B216" s="18"/>
      <c r="C216" s="18"/>
      <c r="D216" s="35" t="s">
        <v>0</v>
      </c>
      <c r="E216" s="35" t="s">
        <v>1</v>
      </c>
      <c r="F216" s="35" t="s">
        <v>2</v>
      </c>
      <c r="G216" s="35" t="s">
        <v>3</v>
      </c>
      <c r="H216" s="35" t="s">
        <v>4</v>
      </c>
      <c r="I216" s="35" t="s">
        <v>5</v>
      </c>
    </row>
    <row r="217" spans="2:11" ht="60" customHeight="1">
      <c r="B217" s="71" t="s">
        <v>6</v>
      </c>
      <c r="C217" s="86" t="s">
        <v>7</v>
      </c>
      <c r="D217" s="88" t="str">
        <f>D139</f>
        <v>Projected 30-year U.S. Treasury bond yield (2026 - 2030)</v>
      </c>
      <c r="E217" s="72" t="s">
        <v>57</v>
      </c>
      <c r="F217" s="72" t="s">
        <v>58</v>
      </c>
      <c r="G217" s="72" t="s">
        <v>59</v>
      </c>
      <c r="H217" s="73" t="s">
        <v>60</v>
      </c>
      <c r="I217" s="73" t="s">
        <v>61</v>
      </c>
    </row>
    <row r="218" spans="2:11" ht="15" customHeight="1">
      <c r="B218" s="74"/>
      <c r="C218" s="74"/>
      <c r="D218" s="18"/>
      <c r="E218" s="18"/>
      <c r="F218" s="18"/>
      <c r="G218" s="35"/>
      <c r="H218" s="35"/>
      <c r="I218" s="35"/>
    </row>
    <row r="219" spans="2:11" ht="15" customHeight="1">
      <c r="B219" s="29" t="s">
        <v>1177</v>
      </c>
      <c r="C219" s="30" t="s">
        <v>457</v>
      </c>
      <c r="D219" s="26">
        <f>D141</f>
        <v>4.2999999999999997E-2</v>
      </c>
      <c r="E219" s="87">
        <f>E193</f>
        <v>0.75</v>
      </c>
      <c r="F219" s="36">
        <f>'AEB-7 Market Return'!$C$7</f>
        <v>0.12654516796751272</v>
      </c>
      <c r="G219" s="38">
        <f>F219-D219</f>
        <v>8.3545167967512726E-2</v>
      </c>
      <c r="H219" s="76">
        <f>IFERROR(G219*E219+D219, "")</f>
        <v>0.10565887597563454</v>
      </c>
      <c r="I219" s="76">
        <f>IFERROR((0.25*G219)+(0.75*E219*G219)+D219, "")</f>
        <v>0.11088044897360409</v>
      </c>
      <c r="K219" s="18"/>
    </row>
    <row r="220" spans="2:11" ht="15" customHeight="1">
      <c r="B220" s="22" t="s">
        <v>1178</v>
      </c>
      <c r="C220" s="23" t="s">
        <v>550</v>
      </c>
      <c r="D220" s="26">
        <f>D142</f>
        <v>4.2999999999999997E-2</v>
      </c>
      <c r="E220" s="87">
        <f t="shared" ref="E220:E223" si="29">E194</f>
        <v>0.75555555555555542</v>
      </c>
      <c r="F220" s="36">
        <f>'AEB-7 Market Return'!$C$7</f>
        <v>0.12654516796751272</v>
      </c>
      <c r="G220" s="38">
        <f t="shared" ref="G220:G223" si="30">F220-D220</f>
        <v>8.3545167967512726E-2</v>
      </c>
      <c r="H220" s="76">
        <f t="shared" ref="H220:H223" si="31">IFERROR(G220*E220+D220, "")</f>
        <v>0.10612301579767627</v>
      </c>
      <c r="I220" s="76">
        <f t="shared" ref="I220:I223" si="32">IFERROR((0.25*G220)+(0.75*E220*G220)+D220, "")</f>
        <v>0.11122855384013539</v>
      </c>
      <c r="K220" s="18"/>
    </row>
    <row r="221" spans="2:11" ht="15" customHeight="1">
      <c r="B221" s="22" t="s">
        <v>1179</v>
      </c>
      <c r="C221" s="23" t="s">
        <v>1180</v>
      </c>
      <c r="D221" s="26">
        <f>D143</f>
        <v>4.2999999999999997E-2</v>
      </c>
      <c r="E221" s="87">
        <f t="shared" si="29"/>
        <v>0.70909090909090899</v>
      </c>
      <c r="F221" s="36">
        <f>'AEB-7 Market Return'!$C$7</f>
        <v>0.12654516796751272</v>
      </c>
      <c r="G221" s="38">
        <f t="shared" si="30"/>
        <v>8.3545167967512726E-2</v>
      </c>
      <c r="H221" s="76">
        <f t="shared" si="31"/>
        <v>0.10224111910423628</v>
      </c>
      <c r="I221" s="76">
        <f t="shared" si="32"/>
        <v>0.1083171313200554</v>
      </c>
      <c r="K221" s="18"/>
    </row>
    <row r="222" spans="2:11" ht="15" customHeight="1">
      <c r="B222" s="22" t="s">
        <v>1181</v>
      </c>
      <c r="C222" s="23" t="s">
        <v>1182</v>
      </c>
      <c r="D222" s="26">
        <f>D144</f>
        <v>4.2999999999999997E-2</v>
      </c>
      <c r="E222" s="87">
        <f t="shared" si="29"/>
        <v>0.73749999999999993</v>
      </c>
      <c r="F222" s="36">
        <f>'AEB-7 Market Return'!$C$7</f>
        <v>0.12654516796751272</v>
      </c>
      <c r="G222" s="38">
        <f t="shared" si="30"/>
        <v>8.3545167967512726E-2</v>
      </c>
      <c r="H222" s="76">
        <f t="shared" si="31"/>
        <v>0.10461456137604062</v>
      </c>
      <c r="I222" s="76">
        <f t="shared" si="32"/>
        <v>0.11009721302390865</v>
      </c>
      <c r="K222" s="18"/>
    </row>
    <row r="223" spans="2:11" ht="15" customHeight="1">
      <c r="B223" s="29" t="s">
        <v>1183</v>
      </c>
      <c r="C223" s="30" t="s">
        <v>1184</v>
      </c>
      <c r="D223" s="26">
        <f>D145</f>
        <v>4.2999999999999997E-2</v>
      </c>
      <c r="E223" s="87">
        <f t="shared" si="29"/>
        <v>0.74090909090909096</v>
      </c>
      <c r="F223" s="36">
        <f>'AEB-7 Market Return'!$C$7</f>
        <v>0.12654516796751272</v>
      </c>
      <c r="G223" s="38">
        <f t="shared" si="30"/>
        <v>8.3545167967512726E-2</v>
      </c>
      <c r="H223" s="76">
        <f t="shared" si="31"/>
        <v>0.10489937444865716</v>
      </c>
      <c r="I223" s="76">
        <f t="shared" si="32"/>
        <v>0.11031082282837104</v>
      </c>
      <c r="K223" s="18"/>
    </row>
    <row r="224" spans="2:11" ht="15" customHeight="1">
      <c r="B224" s="74" t="s">
        <v>41</v>
      </c>
      <c r="C224" s="78"/>
      <c r="D224" s="78"/>
      <c r="E224" s="79"/>
      <c r="F224" s="80"/>
      <c r="G224" s="80"/>
      <c r="H224" s="80">
        <f>AVERAGE(H219:H223)</f>
        <v>0.10470738934044896</v>
      </c>
      <c r="I224" s="80">
        <f>AVERAGE(I219:I223)</f>
        <v>0.1101668339972149</v>
      </c>
    </row>
    <row r="225" spans="2:9" ht="15" customHeight="1" thickBot="1">
      <c r="B225" s="81" t="s">
        <v>42</v>
      </c>
      <c r="C225" s="82"/>
      <c r="D225" s="82"/>
      <c r="E225" s="83"/>
      <c r="F225" s="84"/>
      <c r="G225" s="84"/>
      <c r="H225" s="84">
        <f>MEDIAN(H219:H223)</f>
        <v>0.10489937444865716</v>
      </c>
      <c r="I225" s="84">
        <f>MEDIAN(I219:I223)</f>
        <v>0.11031082282837104</v>
      </c>
    </row>
    <row r="226" spans="2:9" ht="15" customHeight="1">
      <c r="G226" s="31"/>
      <c r="H226" s="31"/>
      <c r="I226" s="31"/>
    </row>
    <row r="227" spans="2:9" ht="15" customHeight="1">
      <c r="B227" s="27" t="s">
        <v>15</v>
      </c>
      <c r="G227" s="31"/>
      <c r="H227" s="31"/>
      <c r="I227" s="31"/>
    </row>
    <row r="228" spans="2:9" ht="15" customHeight="1">
      <c r="B228" s="85" t="str">
        <f>B150</f>
        <v>[1] Blue Chip Financial Forecasts, Vol. 43, No. 6, May 31, 2024, at 14</v>
      </c>
      <c r="G228" s="31"/>
      <c r="H228" s="31"/>
      <c r="I228" s="31"/>
    </row>
    <row r="229" spans="2:9" ht="15" customHeight="1">
      <c r="B229" s="21" t="str">
        <f>B203</f>
        <v>[2] Source: Exhibit AEB-6</v>
      </c>
      <c r="G229" s="31"/>
      <c r="H229" s="31"/>
      <c r="I229" s="31"/>
    </row>
    <row r="230" spans="2:9" ht="15" customHeight="1">
      <c r="B230" s="21" t="str">
        <f>$B$22</f>
        <v>[3] Source: Market Return</v>
      </c>
      <c r="G230" s="31"/>
      <c r="H230" s="31"/>
      <c r="I230" s="31"/>
    </row>
    <row r="231" spans="2:9" ht="15" customHeight="1">
      <c r="B231" s="21" t="s">
        <v>62</v>
      </c>
      <c r="G231" s="31"/>
      <c r="H231" s="31"/>
      <c r="I231" s="31"/>
    </row>
    <row r="232" spans="2:9" ht="15" customHeight="1">
      <c r="B232" s="85" t="s">
        <v>63</v>
      </c>
      <c r="G232" s="31"/>
      <c r="H232" s="31"/>
      <c r="I232" s="31"/>
    </row>
    <row r="233" spans="2:9" ht="15" customHeight="1">
      <c r="B233" s="85" t="s">
        <v>64</v>
      </c>
      <c r="G233" s="31"/>
      <c r="H233" s="31"/>
      <c r="I233" s="31"/>
    </row>
  </sheetData>
  <mergeCells count="36">
    <mergeCell ref="B58:I58"/>
    <mergeCell ref="B2:I2"/>
    <mergeCell ref="B3:I3"/>
    <mergeCell ref="B5:I5"/>
    <mergeCell ref="B6:I6"/>
    <mergeCell ref="B28:I28"/>
    <mergeCell ref="B29:I29"/>
    <mergeCell ref="B31:I31"/>
    <mergeCell ref="B32:I32"/>
    <mergeCell ref="B54:I54"/>
    <mergeCell ref="B55:I55"/>
    <mergeCell ref="B57:I57"/>
    <mergeCell ref="B136:I136"/>
    <mergeCell ref="B80:I80"/>
    <mergeCell ref="B81:I81"/>
    <mergeCell ref="B83:I83"/>
    <mergeCell ref="B84:I84"/>
    <mergeCell ref="B106:I106"/>
    <mergeCell ref="B107:I107"/>
    <mergeCell ref="B109:I109"/>
    <mergeCell ref="B110:I110"/>
    <mergeCell ref="B132:I132"/>
    <mergeCell ref="B133:I133"/>
    <mergeCell ref="B135:I135"/>
    <mergeCell ref="B214:I214"/>
    <mergeCell ref="B158:I158"/>
    <mergeCell ref="B159:I159"/>
    <mergeCell ref="B161:I161"/>
    <mergeCell ref="B162:I162"/>
    <mergeCell ref="B184:I184"/>
    <mergeCell ref="B185:I185"/>
    <mergeCell ref="B187:I187"/>
    <mergeCell ref="B188:I188"/>
    <mergeCell ref="B210:I210"/>
    <mergeCell ref="B211:I211"/>
    <mergeCell ref="B213:I213"/>
  </mergeCells>
  <conditionalFormatting sqref="E16 G16:I16 F37:F41 F63:F67 F89:F93 F115:F119 F141:F145 F167:F171 F193:F197 F219:F223 D11:F15">
    <cfRule type="expression" dxfId="77" priority="102">
      <formula>$E11="Yes"</formula>
    </cfRule>
  </conditionalFormatting>
  <conditionalFormatting sqref="F16">
    <cfRule type="expression" dxfId="76" priority="101">
      <formula>$E16="Yes"</formula>
    </cfRule>
  </conditionalFormatting>
  <conditionalFormatting sqref="E90">
    <cfRule type="expression" dxfId="75" priority="99">
      <formula>#REF!="Yes"</formula>
    </cfRule>
  </conditionalFormatting>
  <conditionalFormatting sqref="E116:E119 E141">
    <cfRule type="expression" dxfId="74" priority="98">
      <formula>$E12="Yes"</formula>
    </cfRule>
  </conditionalFormatting>
  <conditionalFormatting sqref="E17 G17:I17">
    <cfRule type="expression" dxfId="73" priority="87">
      <formula>$E17="Yes"</formula>
    </cfRule>
  </conditionalFormatting>
  <conditionalFormatting sqref="F17">
    <cfRule type="expression" dxfId="72" priority="86">
      <formula>$E17="Yes"</formula>
    </cfRule>
  </conditionalFormatting>
  <conditionalFormatting sqref="E42 G42:I42">
    <cfRule type="expression" dxfId="71" priority="85">
      <formula>$E42="Yes"</formula>
    </cfRule>
  </conditionalFormatting>
  <conditionalFormatting sqref="F42">
    <cfRule type="expression" dxfId="70" priority="84">
      <formula>$E42="Yes"</formula>
    </cfRule>
  </conditionalFormatting>
  <conditionalFormatting sqref="E43 G43:I43">
    <cfRule type="expression" dxfId="69" priority="83">
      <formula>$E43="Yes"</formula>
    </cfRule>
  </conditionalFormatting>
  <conditionalFormatting sqref="F43">
    <cfRule type="expression" dxfId="68" priority="82">
      <formula>$E43="Yes"</formula>
    </cfRule>
  </conditionalFormatting>
  <conditionalFormatting sqref="E68 G68:I68">
    <cfRule type="expression" dxfId="67" priority="81">
      <formula>$E68="Yes"</formula>
    </cfRule>
  </conditionalFormatting>
  <conditionalFormatting sqref="F68">
    <cfRule type="expression" dxfId="66" priority="80">
      <formula>$E68="Yes"</formula>
    </cfRule>
  </conditionalFormatting>
  <conditionalFormatting sqref="E69 G69:I69">
    <cfRule type="expression" dxfId="65" priority="79">
      <formula>$E69="Yes"</formula>
    </cfRule>
  </conditionalFormatting>
  <conditionalFormatting sqref="F69">
    <cfRule type="expression" dxfId="64" priority="78">
      <formula>$E69="Yes"</formula>
    </cfRule>
  </conditionalFormatting>
  <conditionalFormatting sqref="E94 G94:I94">
    <cfRule type="expression" dxfId="63" priority="77">
      <formula>$E94="Yes"</formula>
    </cfRule>
  </conditionalFormatting>
  <conditionalFormatting sqref="F94">
    <cfRule type="expression" dxfId="62" priority="76">
      <formula>$E94="Yes"</formula>
    </cfRule>
  </conditionalFormatting>
  <conditionalFormatting sqref="E95 G95:I95">
    <cfRule type="expression" dxfId="61" priority="75">
      <formula>$E95="Yes"</formula>
    </cfRule>
  </conditionalFormatting>
  <conditionalFormatting sqref="F95">
    <cfRule type="expression" dxfId="60" priority="74">
      <formula>$E95="Yes"</formula>
    </cfRule>
  </conditionalFormatting>
  <conditionalFormatting sqref="E120 G120:I120">
    <cfRule type="expression" dxfId="59" priority="73">
      <formula>$E120="Yes"</formula>
    </cfRule>
  </conditionalFormatting>
  <conditionalFormatting sqref="F120">
    <cfRule type="expression" dxfId="58" priority="72">
      <formula>$E120="Yes"</formula>
    </cfRule>
  </conditionalFormatting>
  <conditionalFormatting sqref="E121 G121:I121">
    <cfRule type="expression" dxfId="57" priority="71">
      <formula>$E121="Yes"</formula>
    </cfRule>
  </conditionalFormatting>
  <conditionalFormatting sqref="F121">
    <cfRule type="expression" dxfId="56" priority="70">
      <formula>$E121="Yes"</formula>
    </cfRule>
  </conditionalFormatting>
  <conditionalFormatting sqref="E146 G146:I146">
    <cfRule type="expression" dxfId="55" priority="69">
      <formula>$E146="Yes"</formula>
    </cfRule>
  </conditionalFormatting>
  <conditionalFormatting sqref="F146">
    <cfRule type="expression" dxfId="54" priority="68">
      <formula>$E146="Yes"</formula>
    </cfRule>
  </conditionalFormatting>
  <conditionalFormatting sqref="E147 G147:I147">
    <cfRule type="expression" dxfId="53" priority="67">
      <formula>$E147="Yes"</formula>
    </cfRule>
  </conditionalFormatting>
  <conditionalFormatting sqref="F147">
    <cfRule type="expression" dxfId="52" priority="66">
      <formula>$E147="Yes"</formula>
    </cfRule>
  </conditionalFormatting>
  <conditionalFormatting sqref="E172 G172:I172">
    <cfRule type="expression" dxfId="51" priority="65">
      <formula>$E172="Yes"</formula>
    </cfRule>
  </conditionalFormatting>
  <conditionalFormatting sqref="F172">
    <cfRule type="expression" dxfId="50" priority="64">
      <formula>$E172="Yes"</formula>
    </cfRule>
  </conditionalFormatting>
  <conditionalFormatting sqref="E173 G173:I173">
    <cfRule type="expression" dxfId="49" priority="63">
      <formula>$E173="Yes"</formula>
    </cfRule>
  </conditionalFormatting>
  <conditionalFormatting sqref="F173">
    <cfRule type="expression" dxfId="48" priority="62">
      <formula>$E173="Yes"</formula>
    </cfRule>
  </conditionalFormatting>
  <conditionalFormatting sqref="E198 G198:I198">
    <cfRule type="expression" dxfId="47" priority="61">
      <formula>$E198="Yes"</formula>
    </cfRule>
  </conditionalFormatting>
  <conditionalFormatting sqref="F198">
    <cfRule type="expression" dxfId="46" priority="60">
      <formula>$E198="Yes"</formula>
    </cfRule>
  </conditionalFormatting>
  <conditionalFormatting sqref="E199 G199:I199">
    <cfRule type="expression" dxfId="45" priority="59">
      <formula>$E199="Yes"</formula>
    </cfRule>
  </conditionalFormatting>
  <conditionalFormatting sqref="F199">
    <cfRule type="expression" dxfId="44" priority="58">
      <formula>$E199="Yes"</formula>
    </cfRule>
  </conditionalFormatting>
  <conditionalFormatting sqref="E224 G224:I224">
    <cfRule type="expression" dxfId="43" priority="57">
      <formula>$E224="Yes"</formula>
    </cfRule>
  </conditionalFormatting>
  <conditionalFormatting sqref="F224">
    <cfRule type="expression" dxfId="42" priority="56">
      <formula>$E224="Yes"</formula>
    </cfRule>
  </conditionalFormatting>
  <conditionalFormatting sqref="E225 G225:I225">
    <cfRule type="expression" dxfId="41" priority="55">
      <formula>$E225="Yes"</formula>
    </cfRule>
  </conditionalFormatting>
  <conditionalFormatting sqref="F225">
    <cfRule type="expression" dxfId="40" priority="54">
      <formula>$E225="Yes"</formula>
    </cfRule>
  </conditionalFormatting>
  <conditionalFormatting sqref="K8:K15 K37:K41 K63:K67 K89:K93 K115:K119 K141:K145 K167:K171 K193:K197 K219:K223">
    <cfRule type="containsText" dxfId="39" priority="53" operator="containsText" text="FALSE">
      <formula>NOT(ISERROR(SEARCH("FALSE",K8)))</formula>
    </cfRule>
  </conditionalFormatting>
  <conditionalFormatting sqref="D89:E89">
    <cfRule type="expression" dxfId="38" priority="108">
      <formula>$E11="Yes"</formula>
    </cfRule>
  </conditionalFormatting>
  <conditionalFormatting sqref="D115:E115">
    <cfRule type="expression" dxfId="37" priority="110">
      <formula>$E11="Yes"</formula>
    </cfRule>
  </conditionalFormatting>
  <conditionalFormatting sqref="D142:D145">
    <cfRule type="expression" dxfId="36" priority="112">
      <formula>$E12="Yes"</formula>
    </cfRule>
  </conditionalFormatting>
  <conditionalFormatting sqref="D168:D171">
    <cfRule type="expression" dxfId="35" priority="114">
      <formula>$E12="Yes"</formula>
    </cfRule>
  </conditionalFormatting>
  <conditionalFormatting sqref="D194:E197">
    <cfRule type="expression" dxfId="34" priority="118">
      <formula>$E12="Yes"</formula>
    </cfRule>
  </conditionalFormatting>
  <conditionalFormatting sqref="D220:E223">
    <cfRule type="expression" dxfId="33" priority="120">
      <formula>$E12="Yes"</formula>
    </cfRule>
  </conditionalFormatting>
  <conditionalFormatting sqref="E93">
    <cfRule type="expression" dxfId="32" priority="234">
      <formula>#REF!="Yes"</formula>
    </cfRule>
  </conditionalFormatting>
  <conditionalFormatting sqref="E92">
    <cfRule type="expression" dxfId="31" priority="238">
      <formula>#REF!="Yes"</formula>
    </cfRule>
  </conditionalFormatting>
  <conditionalFormatting sqref="E91">
    <cfRule type="expression" dxfId="30" priority="242">
      <formula>#REF!="Yes"</formula>
    </cfRule>
  </conditionalFormatting>
  <conditionalFormatting sqref="K8:K15 K37:K41 K63:K67 K89:K93 K116:K119 K141:K145 K167:K171 K193:K197 K219:K223">
    <cfRule type="containsText" dxfId="29" priority="34" operator="containsText" text="TRUE">
      <formula>NOT(ISERROR(SEARCH("TRUE",K8)))</formula>
    </cfRule>
  </conditionalFormatting>
  <conditionalFormatting sqref="D63:E67">
    <cfRule type="expression" dxfId="28" priority="244">
      <formula>$E11="Yes"</formula>
    </cfRule>
  </conditionalFormatting>
  <conditionalFormatting sqref="D116:D119">
    <cfRule type="expression" dxfId="27" priority="247">
      <formula>#REF!="Yes"</formula>
    </cfRule>
  </conditionalFormatting>
  <conditionalFormatting sqref="D37:E41">
    <cfRule type="expression" dxfId="26" priority="252">
      <formula>$E11="Yes"</formula>
    </cfRule>
  </conditionalFormatting>
  <conditionalFormatting sqref="D90:D93">
    <cfRule type="expression" dxfId="25" priority="256">
      <formula>$E12="Yes"</formula>
    </cfRule>
  </conditionalFormatting>
  <conditionalFormatting sqref="D141">
    <cfRule type="expression" dxfId="24" priority="257">
      <formula>$E11="Yes"</formula>
    </cfRule>
  </conditionalFormatting>
  <conditionalFormatting sqref="D167:E167 E168:E171">
    <cfRule type="expression" dxfId="23" priority="261">
      <formula>$E11="Yes"</formula>
    </cfRule>
  </conditionalFormatting>
  <conditionalFormatting sqref="D193:E193">
    <cfRule type="expression" dxfId="22" priority="264">
      <formula>$E11="Yes"</formula>
    </cfRule>
  </conditionalFormatting>
  <conditionalFormatting sqref="D219:E219">
    <cfRule type="expression" dxfId="21" priority="267">
      <formula>$E11="Yes"</formula>
    </cfRule>
  </conditionalFormatting>
  <conditionalFormatting sqref="E142:E145">
    <cfRule type="expression" dxfId="20" priority="280">
      <formula>$E38="Yes"</formula>
    </cfRule>
  </conditionalFormatting>
  <printOptions horizontalCentered="1"/>
  <pageMargins left="0.7" right="0.7" top="1.5" bottom="0.75" header="0.3" footer="0.3"/>
  <pageSetup scale="77" orientation="portrait" useFirstPageNumber="1" r:id="rId1"/>
  <headerFooter scaleWithDoc="0">
    <oddHeader>&amp;RDocket No. U-_____ 
Exhibit AEB-5
Page &amp;P of 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2:Y26"/>
  <sheetViews>
    <sheetView showGridLines="0" zoomScaleNormal="100" zoomScaleSheetLayoutView="65" workbookViewId="0">
      <selection activeCell="F39" sqref="F39"/>
    </sheetView>
  </sheetViews>
  <sheetFormatPr defaultColWidth="14.1796875" defaultRowHeight="15" customHeight="1"/>
  <cols>
    <col min="1" max="1" width="32.26953125" style="20" bestFit="1" customWidth="1"/>
    <col min="2" max="2" width="6.26953125" style="20" bestFit="1" customWidth="1"/>
    <col min="3" max="12" width="11.26953125" style="20" bestFit="1" customWidth="1"/>
    <col min="13" max="13" width="11.26953125" style="20" customWidth="1"/>
    <col min="14" max="14" width="8.26953125" style="20" bestFit="1" customWidth="1"/>
    <col min="15" max="16384" width="14.1796875" style="20"/>
  </cols>
  <sheetData>
    <row r="2" spans="1:25" ht="15" customHeight="1">
      <c r="A2" s="535" t="s">
        <v>1162</v>
      </c>
      <c r="B2" s="535"/>
      <c r="C2" s="535"/>
      <c r="D2" s="535"/>
      <c r="E2" s="535"/>
      <c r="F2" s="535"/>
      <c r="G2" s="535"/>
      <c r="H2" s="535"/>
      <c r="I2" s="535"/>
      <c r="J2" s="535"/>
      <c r="K2" s="535"/>
      <c r="L2" s="535"/>
      <c r="M2" s="535"/>
      <c r="N2" s="535"/>
    </row>
    <row r="4" spans="1:25" ht="15" customHeight="1" thickBot="1">
      <c r="C4" s="105" t="s">
        <v>0</v>
      </c>
      <c r="D4" s="105" t="s">
        <v>1</v>
      </c>
      <c r="E4" s="105" t="s">
        <v>2</v>
      </c>
      <c r="F4" s="105" t="s">
        <v>3</v>
      </c>
      <c r="G4" s="105" t="s">
        <v>4</v>
      </c>
      <c r="H4" s="105" t="s">
        <v>5</v>
      </c>
      <c r="I4" s="105" t="s">
        <v>215</v>
      </c>
      <c r="J4" s="105" t="s">
        <v>216</v>
      </c>
      <c r="K4" s="105" t="s">
        <v>217</v>
      </c>
      <c r="L4" s="105" t="s">
        <v>218</v>
      </c>
      <c r="M4" s="105" t="s">
        <v>219</v>
      </c>
      <c r="N4" s="105" t="s">
        <v>1249</v>
      </c>
      <c r="P4" s="1"/>
      <c r="Q4" s="1"/>
      <c r="R4" s="1"/>
      <c r="S4" s="1"/>
      <c r="T4" s="1"/>
      <c r="U4" s="1"/>
      <c r="V4" s="1"/>
      <c r="W4" s="1"/>
      <c r="X4" s="1"/>
      <c r="Y4" s="1"/>
    </row>
    <row r="5" spans="1:25" ht="15" customHeight="1">
      <c r="A5" s="106" t="s">
        <v>6</v>
      </c>
      <c r="B5" s="107" t="s">
        <v>7</v>
      </c>
      <c r="C5" s="108">
        <v>41639</v>
      </c>
      <c r="D5" s="108">
        <v>42004</v>
      </c>
      <c r="E5" s="108">
        <v>42369</v>
      </c>
      <c r="F5" s="109">
        <v>42735</v>
      </c>
      <c r="G5" s="110">
        <v>43100</v>
      </c>
      <c r="H5" s="109">
        <v>43465</v>
      </c>
      <c r="I5" s="110">
        <v>43830</v>
      </c>
      <c r="J5" s="109">
        <v>44196</v>
      </c>
      <c r="K5" s="109">
        <v>44561</v>
      </c>
      <c r="L5" s="109">
        <v>44926</v>
      </c>
      <c r="M5" s="109">
        <v>45291</v>
      </c>
      <c r="N5" s="109" t="s">
        <v>75</v>
      </c>
    </row>
    <row r="6" spans="1:25" ht="15" customHeight="1">
      <c r="A6" s="111"/>
      <c r="B6" s="111"/>
      <c r="C6" s="112"/>
      <c r="D6" s="112"/>
      <c r="E6" s="112"/>
    </row>
    <row r="7" spans="1:25" ht="15" customHeight="1">
      <c r="A7" s="29" t="s">
        <v>1177</v>
      </c>
      <c r="B7" s="30" t="s">
        <v>457</v>
      </c>
      <c r="C7" s="75">
        <v>0.8</v>
      </c>
      <c r="D7" s="75">
        <v>0.8</v>
      </c>
      <c r="E7" s="75">
        <v>0.8</v>
      </c>
      <c r="F7" s="75">
        <v>0.7</v>
      </c>
      <c r="G7" s="75">
        <v>0.7</v>
      </c>
      <c r="H7" s="75">
        <v>0.6</v>
      </c>
      <c r="I7" s="75">
        <v>0.6</v>
      </c>
      <c r="J7" s="75">
        <v>0.8</v>
      </c>
      <c r="K7" s="75">
        <v>0.8</v>
      </c>
      <c r="L7" s="75">
        <v>0.8</v>
      </c>
      <c r="M7" s="75">
        <v>0.85</v>
      </c>
      <c r="N7" s="113">
        <f>AVERAGE(C7:M7)</f>
        <v>0.75</v>
      </c>
      <c r="O7" s="19"/>
    </row>
    <row r="8" spans="1:25" ht="15" customHeight="1">
      <c r="A8" s="22" t="s">
        <v>1178</v>
      </c>
      <c r="B8" s="23" t="s">
        <v>550</v>
      </c>
      <c r="C8" s="23">
        <v>0.85</v>
      </c>
      <c r="D8" s="23">
        <v>0.85</v>
      </c>
      <c r="E8" s="23" t="s">
        <v>1163</v>
      </c>
      <c r="F8" s="114" t="s">
        <v>1163</v>
      </c>
      <c r="G8" s="114">
        <v>0.6</v>
      </c>
      <c r="H8" s="114">
        <v>0.5</v>
      </c>
      <c r="I8" s="114">
        <v>0.55000000000000004</v>
      </c>
      <c r="J8" s="114">
        <v>0.85</v>
      </c>
      <c r="K8" s="75">
        <v>0.85</v>
      </c>
      <c r="L8" s="75">
        <v>0.85</v>
      </c>
      <c r="M8" s="75">
        <v>0.9</v>
      </c>
      <c r="N8" s="113">
        <f t="shared" ref="N8:N11" si="0">AVERAGE(C8:M8)</f>
        <v>0.75555555555555542</v>
      </c>
    </row>
    <row r="9" spans="1:25" ht="15" customHeight="1">
      <c r="A9" s="20" t="s">
        <v>1179</v>
      </c>
      <c r="B9" s="20" t="s">
        <v>1180</v>
      </c>
      <c r="C9" s="23">
        <v>0.65</v>
      </c>
      <c r="D9" s="23">
        <v>0.7</v>
      </c>
      <c r="E9" s="23">
        <v>0.65</v>
      </c>
      <c r="F9" s="23">
        <v>0.65</v>
      </c>
      <c r="G9" s="23">
        <v>0.7</v>
      </c>
      <c r="H9" s="23">
        <v>0.6</v>
      </c>
      <c r="I9" s="23">
        <v>0.6</v>
      </c>
      <c r="J9" s="23">
        <v>0.8</v>
      </c>
      <c r="K9" s="23">
        <v>0.85</v>
      </c>
      <c r="L9" s="23">
        <v>0.8</v>
      </c>
      <c r="M9" s="23">
        <v>0.8</v>
      </c>
      <c r="N9" s="113">
        <f t="shared" si="0"/>
        <v>0.70909090909090899</v>
      </c>
    </row>
    <row r="10" spans="1:25" ht="15" customHeight="1">
      <c r="A10" s="22" t="s">
        <v>1181</v>
      </c>
      <c r="B10" s="23" t="s">
        <v>1182</v>
      </c>
      <c r="C10" s="23" t="s">
        <v>1187</v>
      </c>
      <c r="D10" s="23" t="s">
        <v>1187</v>
      </c>
      <c r="E10" s="23" t="s">
        <v>1187</v>
      </c>
      <c r="F10" s="75">
        <v>0.7</v>
      </c>
      <c r="G10" s="75">
        <v>0.7</v>
      </c>
      <c r="H10" s="75">
        <v>0.65</v>
      </c>
      <c r="I10" s="75">
        <v>0.65</v>
      </c>
      <c r="J10" s="75">
        <v>0.8</v>
      </c>
      <c r="K10" s="75">
        <v>0.8</v>
      </c>
      <c r="L10" s="75">
        <v>0.8</v>
      </c>
      <c r="M10" s="75">
        <v>0.8</v>
      </c>
      <c r="N10" s="113">
        <f t="shared" si="0"/>
        <v>0.73749999999999993</v>
      </c>
    </row>
    <row r="11" spans="1:25" ht="15" customHeight="1">
      <c r="A11" s="29" t="s">
        <v>1183</v>
      </c>
      <c r="B11" s="30" t="s">
        <v>1184</v>
      </c>
      <c r="C11" s="23">
        <v>0.65</v>
      </c>
      <c r="D11" s="23">
        <v>0.7</v>
      </c>
      <c r="E11" s="23">
        <v>0.7</v>
      </c>
      <c r="F11" s="75">
        <v>0.7</v>
      </c>
      <c r="G11" s="75">
        <v>0.7</v>
      </c>
      <c r="H11" s="75">
        <v>0.65</v>
      </c>
      <c r="I11" s="75">
        <v>0.65</v>
      </c>
      <c r="J11" s="75">
        <v>0.85</v>
      </c>
      <c r="K11" s="75">
        <v>0.85</v>
      </c>
      <c r="L11" s="75">
        <v>0.85</v>
      </c>
      <c r="M11" s="75">
        <v>0.85</v>
      </c>
      <c r="N11" s="113">
        <f t="shared" si="0"/>
        <v>0.74090909090909096</v>
      </c>
    </row>
    <row r="12" spans="1:25" ht="15" customHeight="1" thickBot="1">
      <c r="A12" s="115" t="s">
        <v>41</v>
      </c>
      <c r="B12" s="115"/>
      <c r="C12" s="116">
        <f t="shared" ref="C12:M12" si="1">AVERAGE(C7:C11)</f>
        <v>0.73749999999999993</v>
      </c>
      <c r="D12" s="116">
        <f t="shared" si="1"/>
        <v>0.76249999999999996</v>
      </c>
      <c r="E12" s="116">
        <f t="shared" si="1"/>
        <v>0.71666666666666679</v>
      </c>
      <c r="F12" s="116">
        <f t="shared" si="1"/>
        <v>0.6875</v>
      </c>
      <c r="G12" s="116">
        <f t="shared" si="1"/>
        <v>0.67999999999999994</v>
      </c>
      <c r="H12" s="116">
        <f t="shared" si="1"/>
        <v>0.6</v>
      </c>
      <c r="I12" s="116">
        <f t="shared" si="1"/>
        <v>0.61</v>
      </c>
      <c r="J12" s="116">
        <f t="shared" si="1"/>
        <v>0.82</v>
      </c>
      <c r="K12" s="116">
        <f t="shared" si="1"/>
        <v>0.82999999999999985</v>
      </c>
      <c r="L12" s="116">
        <f t="shared" si="1"/>
        <v>0.82</v>
      </c>
      <c r="M12" s="116">
        <f t="shared" si="1"/>
        <v>0.83999999999999986</v>
      </c>
      <c r="N12" s="116">
        <f>AVERAGE(N7:N11)</f>
        <v>0.73861111111111111</v>
      </c>
    </row>
    <row r="14" spans="1:25" ht="15" customHeight="1">
      <c r="A14" s="117" t="s">
        <v>15</v>
      </c>
    </row>
    <row r="15" spans="1:25" ht="15" customHeight="1">
      <c r="A15" s="22" t="s">
        <v>1164</v>
      </c>
    </row>
    <row r="16" spans="1:25" ht="15" customHeight="1">
      <c r="A16" s="22" t="s">
        <v>1165</v>
      </c>
    </row>
    <row r="17" spans="1:1" ht="15" customHeight="1">
      <c r="A17" s="22" t="s">
        <v>1166</v>
      </c>
    </row>
    <row r="18" spans="1:1" ht="15" customHeight="1">
      <c r="A18" s="22" t="s">
        <v>1167</v>
      </c>
    </row>
    <row r="19" spans="1:1" ht="15" customHeight="1">
      <c r="A19" s="18" t="s">
        <v>1168</v>
      </c>
    </row>
    <row r="20" spans="1:1" ht="15" customHeight="1">
      <c r="A20" s="18" t="s">
        <v>1169</v>
      </c>
    </row>
    <row r="21" spans="1:1" ht="15" customHeight="1">
      <c r="A21" s="41" t="s">
        <v>1170</v>
      </c>
    </row>
    <row r="22" spans="1:1" ht="15" customHeight="1">
      <c r="A22" s="18" t="s">
        <v>1171</v>
      </c>
    </row>
    <row r="23" spans="1:1" ht="15" customHeight="1">
      <c r="A23" s="18" t="s">
        <v>1172</v>
      </c>
    </row>
    <row r="24" spans="1:1" ht="15" customHeight="1">
      <c r="A24" s="18" t="s">
        <v>1458</v>
      </c>
    </row>
    <row r="25" spans="1:1" ht="15" customHeight="1">
      <c r="A25" s="18" t="s">
        <v>1259</v>
      </c>
    </row>
    <row r="26" spans="1:1" ht="15" customHeight="1">
      <c r="A26" s="18"/>
    </row>
  </sheetData>
  <mergeCells count="1">
    <mergeCell ref="A2:N2"/>
  </mergeCells>
  <conditionalFormatting sqref="O7">
    <cfRule type="containsText" dxfId="19" priority="2" operator="containsText" text="TRUE">
      <formula>NOT(ISERROR(SEARCH("TRUE",O7)))</formula>
    </cfRule>
  </conditionalFormatting>
  <printOptions horizontalCentered="1"/>
  <pageMargins left="0.7" right="0.7" top="1.5" bottom="0.75" header="0.3" footer="0.3"/>
  <pageSetup scale="52" orientation="portrait" useFirstPageNumber="1" r:id="rId1"/>
  <headerFooter scaleWithDoc="0">
    <oddHeader>&amp;RDocket No. U-_____ 
Exhibit AEB-6
Page &amp;P of 1</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autoPageBreaks="0"/>
  </sheetPr>
  <dimension ref="A1:K532"/>
  <sheetViews>
    <sheetView showGridLines="0" zoomScale="80" zoomScaleNormal="80" workbookViewId="0">
      <selection activeCell="O28" sqref="O28"/>
    </sheetView>
  </sheetViews>
  <sheetFormatPr defaultColWidth="8.7265625" defaultRowHeight="15" customHeight="1"/>
  <cols>
    <col min="1" max="1" width="3.7265625" style="89" customWidth="1"/>
    <col min="2" max="2" width="45.54296875" style="89" customWidth="1"/>
    <col min="3" max="3" width="8.7265625" style="89"/>
    <col min="4" max="4" width="19.7265625" style="89" customWidth="1"/>
    <col min="5" max="5" width="15.26953125" style="89" customWidth="1"/>
    <col min="6" max="6" width="20.26953125" style="89" customWidth="1"/>
    <col min="7" max="7" width="13.54296875" style="89" customWidth="1"/>
    <col min="8" max="9" width="15.54296875" style="89" bestFit="1" customWidth="1"/>
    <col min="10" max="10" width="12.26953125" style="89" bestFit="1" customWidth="1"/>
    <col min="11" max="11" width="15.81640625" style="89" bestFit="1" customWidth="1"/>
    <col min="12" max="16384" width="8.7265625" style="89"/>
  </cols>
  <sheetData>
    <row r="1" spans="1:11" ht="15" customHeight="1">
      <c r="A1" s="149">
        <f>'AEB-5 CAPM&amp;ECAPM'!A1</f>
        <v>45473</v>
      </c>
      <c r="B1" s="536" t="s">
        <v>211</v>
      </c>
      <c r="C1" s="536"/>
      <c r="D1" s="536"/>
      <c r="E1" s="536"/>
      <c r="F1" s="536"/>
      <c r="G1" s="536"/>
      <c r="H1" s="536"/>
      <c r="I1" s="536"/>
      <c r="J1" s="536"/>
      <c r="K1" s="536"/>
    </row>
    <row r="2" spans="1:11" ht="15" customHeight="1">
      <c r="B2" s="22"/>
      <c r="C2" s="22"/>
    </row>
    <row r="3" spans="1:11" ht="15" customHeight="1">
      <c r="B3" s="1" t="s">
        <v>212</v>
      </c>
      <c r="C3" s="90">
        <f>SUM(I15:I517)</f>
        <v>1.575875444976552E-2</v>
      </c>
      <c r="D3" s="143"/>
      <c r="F3" s="18"/>
    </row>
    <row r="4" spans="1:11" ht="15" customHeight="1">
      <c r="B4" s="1"/>
      <c r="C4" s="145"/>
      <c r="D4" s="144"/>
      <c r="F4" s="18"/>
    </row>
    <row r="5" spans="1:11" ht="15" customHeight="1">
      <c r="B5" s="1" t="s">
        <v>213</v>
      </c>
      <c r="C5" s="90">
        <f>SUM(K15:K517)</f>
        <v>0.10992030993112385</v>
      </c>
      <c r="D5" s="143"/>
      <c r="F5" s="18"/>
    </row>
    <row r="6" spans="1:11" ht="15" customHeight="1">
      <c r="B6" s="1"/>
      <c r="C6" s="145"/>
      <c r="D6" s="22"/>
      <c r="F6" s="18"/>
    </row>
    <row r="7" spans="1:11" ht="15" customHeight="1">
      <c r="B7" s="1" t="s">
        <v>214</v>
      </c>
      <c r="C7" s="91">
        <f>C3*(1+0.5*C5)+C5</f>
        <v>0.12654516796751272</v>
      </c>
      <c r="D7" s="92"/>
      <c r="F7" s="18"/>
    </row>
    <row r="9" spans="1:11" ht="15" customHeight="1">
      <c r="G9" s="30"/>
      <c r="H9" s="30"/>
      <c r="I9" s="30"/>
      <c r="J9" s="30"/>
      <c r="K9" s="30"/>
    </row>
    <row r="10" spans="1:11" ht="15" customHeight="1" thickBot="1">
      <c r="B10" s="22"/>
      <c r="C10" s="22"/>
      <c r="D10" s="42" t="s">
        <v>3</v>
      </c>
      <c r="E10" s="42" t="s">
        <v>4</v>
      </c>
      <c r="F10" s="42" t="s">
        <v>5</v>
      </c>
      <c r="G10" s="42" t="s">
        <v>215</v>
      </c>
      <c r="H10" s="42" t="s">
        <v>216</v>
      </c>
      <c r="I10" s="42" t="s">
        <v>217</v>
      </c>
      <c r="J10" s="42" t="s">
        <v>218</v>
      </c>
      <c r="K10" s="42" t="s">
        <v>219</v>
      </c>
    </row>
    <row r="11" spans="1:11" ht="15" customHeight="1">
      <c r="B11" s="93"/>
      <c r="C11" s="93"/>
      <c r="D11" s="94"/>
      <c r="E11" s="94"/>
      <c r="F11" s="94"/>
      <c r="G11" s="93"/>
      <c r="H11" s="93"/>
      <c r="I11" s="93"/>
      <c r="J11" s="95" t="s">
        <v>1224</v>
      </c>
      <c r="K11" s="95" t="s">
        <v>220</v>
      </c>
    </row>
    <row r="12" spans="1:11" ht="15" customHeight="1">
      <c r="B12" s="22"/>
      <c r="C12" s="22"/>
      <c r="D12" s="42" t="s">
        <v>221</v>
      </c>
      <c r="E12" s="96"/>
      <c r="F12" s="42" t="s">
        <v>222</v>
      </c>
      <c r="G12" s="23" t="s">
        <v>223</v>
      </c>
      <c r="H12" s="23" t="s">
        <v>224</v>
      </c>
      <c r="I12" s="23" t="s">
        <v>225</v>
      </c>
      <c r="J12" s="23" t="s">
        <v>226</v>
      </c>
      <c r="K12" s="23" t="s">
        <v>226</v>
      </c>
    </row>
    <row r="13" spans="1:11" ht="15" customHeight="1">
      <c r="B13" s="28" t="s">
        <v>227</v>
      </c>
      <c r="C13" s="28" t="s">
        <v>7</v>
      </c>
      <c r="D13" s="97" t="s">
        <v>228</v>
      </c>
      <c r="E13" s="97" t="s">
        <v>229</v>
      </c>
      <c r="F13" s="97" t="s">
        <v>230</v>
      </c>
      <c r="G13" s="28" t="s">
        <v>231</v>
      </c>
      <c r="H13" s="28" t="s">
        <v>32</v>
      </c>
      <c r="I13" s="28" t="s">
        <v>32</v>
      </c>
      <c r="J13" s="28" t="s">
        <v>232</v>
      </c>
      <c r="K13" s="28" t="s">
        <v>232</v>
      </c>
    </row>
    <row r="14" spans="1:11" ht="15" customHeight="1">
      <c r="B14" s="74"/>
      <c r="C14" s="74"/>
      <c r="D14" s="74"/>
      <c r="E14" s="74"/>
      <c r="F14" s="74"/>
      <c r="G14" s="74"/>
      <c r="H14" s="74"/>
      <c r="I14" s="74"/>
      <c r="J14" s="74"/>
      <c r="K14" s="74"/>
    </row>
    <row r="15" spans="1:11" ht="15" customHeight="1">
      <c r="B15" s="98" t="s">
        <v>233</v>
      </c>
      <c r="C15" s="99" t="s">
        <v>234</v>
      </c>
      <c r="D15" s="100">
        <v>325.62200000000001</v>
      </c>
      <c r="E15" s="100">
        <v>95.66</v>
      </c>
      <c r="F15" s="101">
        <f>D15*E15</f>
        <v>31149.000520000001</v>
      </c>
      <c r="G15" s="102">
        <f>IF(AND(ISNUMBER($J15)), IF(AND($J15&lt;=20%,$J15&gt;0%), $F15/SUMIFS($F$15:$F$517,$J$15:$J$517, "&gt;"&amp;0%,$J$15:$J$517, "&lt;="&amp;20%),""),"")</f>
        <v>8.9321394811309055E-4</v>
      </c>
      <c r="H15" s="102">
        <v>5.603177921806398E-2</v>
      </c>
      <c r="I15" s="103">
        <f>IFERROR(G15*H15,"")</f>
        <v>5.0048366735167942E-5</v>
      </c>
      <c r="J15" s="103">
        <v>0.1072</v>
      </c>
      <c r="K15" s="103">
        <f>IFERROR(G15*J15,"")</f>
        <v>9.5752535237723311E-5</v>
      </c>
    </row>
    <row r="16" spans="1:11" ht="15" customHeight="1">
      <c r="B16" s="98" t="s">
        <v>235</v>
      </c>
      <c r="C16" s="99" t="s">
        <v>236</v>
      </c>
      <c r="D16" s="100">
        <v>719.303</v>
      </c>
      <c r="E16" s="100">
        <v>231.55</v>
      </c>
      <c r="F16" s="101">
        <f t="shared" ref="F16:F79" si="0">D16*E16</f>
        <v>166554.60965</v>
      </c>
      <c r="G16" s="102">
        <f t="shared" ref="G16:G79" si="1">IF(AND(ISNUMBER($J16)), IF(AND($J16&lt;=20%,$J16&gt;0%), $F16/SUMIFS($F$15:$F$517,$J$15:$J$517, "&gt;"&amp;0%,$J$15:$J$517, "&lt;="&amp;20%),""),"")</f>
        <v>4.7760408994950033E-3</v>
      </c>
      <c r="H16" s="102">
        <v>1.2092420643489525E-2</v>
      </c>
      <c r="I16" s="103">
        <f t="shared" ref="I16:I79" si="2">IFERROR(G16*H16,"")</f>
        <v>5.7753895567203655E-5</v>
      </c>
      <c r="J16" s="103">
        <v>0.15115000000000001</v>
      </c>
      <c r="K16" s="103">
        <f t="shared" ref="K16:K79" si="3">IFERROR(G16*J16,"")</f>
        <v>7.2189858195866974E-4</v>
      </c>
    </row>
    <row r="17" spans="2:11" ht="15" customHeight="1">
      <c r="B17" s="98" t="s">
        <v>237</v>
      </c>
      <c r="C17" s="99" t="s">
        <v>238</v>
      </c>
      <c r="D17" s="100">
        <v>4209.2550000000001</v>
      </c>
      <c r="E17" s="100">
        <v>41.24</v>
      </c>
      <c r="F17" s="101">
        <f t="shared" si="0"/>
        <v>173589.67620000002</v>
      </c>
      <c r="G17" s="102">
        <f t="shared" si="1"/>
        <v>4.9777751273502174E-3</v>
      </c>
      <c r="H17" s="102">
        <v>6.4500484966052374E-2</v>
      </c>
      <c r="I17" s="103">
        <f t="shared" si="2"/>
        <v>3.2106890976604216E-4</v>
      </c>
      <c r="J17" s="103">
        <v>2.0950000000000003E-2</v>
      </c>
      <c r="K17" s="103">
        <f t="shared" si="3"/>
        <v>1.0428438891798707E-4</v>
      </c>
    </row>
    <row r="18" spans="2:11" ht="15" customHeight="1">
      <c r="B18" s="98" t="s">
        <v>239</v>
      </c>
      <c r="C18" s="99" t="s">
        <v>240</v>
      </c>
      <c r="D18" s="100">
        <v>465.488</v>
      </c>
      <c r="E18" s="100">
        <v>1605.53</v>
      </c>
      <c r="F18" s="101">
        <f t="shared" si="0"/>
        <v>747354.94863999996</v>
      </c>
      <c r="G18" s="102">
        <f t="shared" si="1"/>
        <v>2.1430795633008332E-2</v>
      </c>
      <c r="H18" s="102">
        <v>1.3079792965562774E-2</v>
      </c>
      <c r="I18" s="103">
        <f t="shared" si="2"/>
        <v>2.8031036996703577E-4</v>
      </c>
      <c r="J18" s="103">
        <v>0.15855</v>
      </c>
      <c r="K18" s="103">
        <f t="shared" si="3"/>
        <v>3.3978526476134709E-3</v>
      </c>
    </row>
    <row r="19" spans="2:11" ht="15" customHeight="1">
      <c r="B19" s="98" t="s">
        <v>241</v>
      </c>
      <c r="C19" s="99" t="s">
        <v>242</v>
      </c>
      <c r="D19" s="100">
        <v>613.88400000000001</v>
      </c>
      <c r="E19" s="100">
        <v>182.01</v>
      </c>
      <c r="F19" s="101">
        <f t="shared" si="0"/>
        <v>111733.02683999999</v>
      </c>
      <c r="G19" s="102" t="str">
        <f t="shared" si="1"/>
        <v/>
      </c>
      <c r="H19" s="102" t="s">
        <v>243</v>
      </c>
      <c r="I19" s="103" t="str">
        <f t="shared" si="2"/>
        <v/>
      </c>
      <c r="J19" s="103">
        <v>0.46909999999999996</v>
      </c>
      <c r="K19" s="103" t="str">
        <f t="shared" si="3"/>
        <v/>
      </c>
    </row>
    <row r="20" spans="2:11" ht="15" customHeight="1">
      <c r="B20" s="98" t="s">
        <v>1260</v>
      </c>
      <c r="C20" s="99" t="s">
        <v>1261</v>
      </c>
      <c r="D20" s="100">
        <v>172.71</v>
      </c>
      <c r="E20" s="100">
        <v>52.88</v>
      </c>
      <c r="F20" s="101">
        <f t="shared" si="0"/>
        <v>9132.9048000000003</v>
      </c>
      <c r="G20" s="102" t="str">
        <f t="shared" si="1"/>
        <v/>
      </c>
      <c r="H20" s="102" t="s">
        <v>243</v>
      </c>
      <c r="I20" s="103" t="str">
        <f t="shared" si="2"/>
        <v/>
      </c>
      <c r="J20" s="103">
        <v>-0.02</v>
      </c>
      <c r="K20" s="103" t="str">
        <f t="shared" si="3"/>
        <v/>
      </c>
    </row>
    <row r="21" spans="2:11" ht="15" customHeight="1">
      <c r="B21" s="98" t="s">
        <v>244</v>
      </c>
      <c r="C21" s="99" t="s">
        <v>245</v>
      </c>
      <c r="D21" s="100">
        <v>489.053</v>
      </c>
      <c r="E21" s="100">
        <v>333.1</v>
      </c>
      <c r="F21" s="101">
        <f t="shared" si="0"/>
        <v>162903.55430000002</v>
      </c>
      <c r="G21" s="102">
        <f t="shared" si="1"/>
        <v>4.6713449699463498E-3</v>
      </c>
      <c r="H21" s="102">
        <v>1.6931852296607625E-2</v>
      </c>
      <c r="I21" s="103">
        <f t="shared" si="2"/>
        <v>7.9094523057632578E-5</v>
      </c>
      <c r="J21" s="103">
        <v>7.6999999999999999E-2</v>
      </c>
      <c r="K21" s="103">
        <f t="shared" si="3"/>
        <v>3.5969356268586894E-4</v>
      </c>
    </row>
    <row r="22" spans="2:11" ht="15" customHeight="1">
      <c r="B22" s="98" t="s">
        <v>246</v>
      </c>
      <c r="C22" s="99" t="s">
        <v>247</v>
      </c>
      <c r="D22" s="100">
        <v>2871.6680000000001</v>
      </c>
      <c r="E22" s="100">
        <v>202.26</v>
      </c>
      <c r="F22" s="101">
        <f t="shared" si="0"/>
        <v>580823.56967999996</v>
      </c>
      <c r="G22" s="102">
        <f t="shared" si="1"/>
        <v>1.6655420885748905E-2</v>
      </c>
      <c r="H22" s="102">
        <v>2.4720656580638784E-2</v>
      </c>
      <c r="I22" s="103">
        <f t="shared" si="2"/>
        <v>4.1173293992259732E-4</v>
      </c>
      <c r="J22" s="103">
        <v>3.0299999999999997E-2</v>
      </c>
      <c r="K22" s="103">
        <f t="shared" si="3"/>
        <v>5.0465925283819176E-4</v>
      </c>
    </row>
    <row r="23" spans="2:11" ht="15" customHeight="1">
      <c r="B23" s="98" t="s">
        <v>248</v>
      </c>
      <c r="C23" s="99" t="s">
        <v>249</v>
      </c>
      <c r="D23" s="100">
        <v>1847.32</v>
      </c>
      <c r="E23" s="100">
        <v>156.41999999999999</v>
      </c>
      <c r="F23" s="101">
        <f t="shared" si="0"/>
        <v>288957.79439999996</v>
      </c>
      <c r="G23" s="102" t="str">
        <f t="shared" si="1"/>
        <v/>
      </c>
      <c r="H23" s="102">
        <v>4.1682649277585984E-2</v>
      </c>
      <c r="I23" s="103" t="str">
        <f t="shared" si="2"/>
        <v/>
      </c>
      <c r="J23" s="103" t="s">
        <v>243</v>
      </c>
      <c r="K23" s="103" t="str">
        <f t="shared" si="3"/>
        <v/>
      </c>
    </row>
    <row r="24" spans="2:11" ht="15" customHeight="1">
      <c r="B24" s="98" t="s">
        <v>250</v>
      </c>
      <c r="C24" s="99" t="s">
        <v>251</v>
      </c>
      <c r="D24" s="100">
        <v>4307.9549999999999</v>
      </c>
      <c r="E24" s="100">
        <v>63.65</v>
      </c>
      <c r="F24" s="101">
        <f t="shared" si="0"/>
        <v>274201.33574999997</v>
      </c>
      <c r="G24" s="102">
        <f t="shared" si="1"/>
        <v>7.8628673021429122E-3</v>
      </c>
      <c r="H24" s="102">
        <v>3.0479183032207383E-2</v>
      </c>
      <c r="I24" s="103">
        <f t="shared" si="2"/>
        <v>2.3965377165997248E-4</v>
      </c>
      <c r="J24" s="103">
        <v>6.3600000000000004E-2</v>
      </c>
      <c r="K24" s="103">
        <f t="shared" si="3"/>
        <v>5.000783604162892E-4</v>
      </c>
    </row>
    <row r="25" spans="2:11" ht="15" customHeight="1">
      <c r="B25" s="98" t="s">
        <v>252</v>
      </c>
      <c r="C25" s="99" t="s">
        <v>253</v>
      </c>
      <c r="D25" s="100">
        <v>1765.8679999999999</v>
      </c>
      <c r="E25" s="100">
        <v>171.52</v>
      </c>
      <c r="F25" s="101">
        <f t="shared" si="0"/>
        <v>302881.67936000001</v>
      </c>
      <c r="G25" s="102">
        <f t="shared" si="1"/>
        <v>8.6852912169224483E-3</v>
      </c>
      <c r="H25" s="102">
        <v>3.6147388059701489E-2</v>
      </c>
      <c r="I25" s="103">
        <f t="shared" si="2"/>
        <v>3.1395059202961274E-4</v>
      </c>
      <c r="J25" s="103">
        <v>8.3400000000000002E-2</v>
      </c>
      <c r="K25" s="103">
        <f t="shared" si="3"/>
        <v>7.2435328749133224E-4</v>
      </c>
    </row>
    <row r="26" spans="2:11" ht="15" customHeight="1">
      <c r="B26" s="98" t="s">
        <v>254</v>
      </c>
      <c r="C26" s="99" t="s">
        <v>255</v>
      </c>
      <c r="D26" s="100">
        <v>1823.0429999999999</v>
      </c>
      <c r="E26" s="100">
        <v>99.29</v>
      </c>
      <c r="F26" s="101">
        <f t="shared" si="0"/>
        <v>181009.93947000001</v>
      </c>
      <c r="G26" s="102" t="str">
        <f t="shared" si="1"/>
        <v/>
      </c>
      <c r="H26" s="102">
        <v>9.0643569342330546E-3</v>
      </c>
      <c r="I26" s="103" t="str">
        <f t="shared" si="2"/>
        <v/>
      </c>
      <c r="J26" s="103">
        <v>0.21445</v>
      </c>
      <c r="K26" s="103" t="str">
        <f t="shared" si="3"/>
        <v/>
      </c>
    </row>
    <row r="27" spans="2:11" ht="15" customHeight="1">
      <c r="B27" s="98" t="s">
        <v>1262</v>
      </c>
      <c r="C27" s="99" t="s">
        <v>1263</v>
      </c>
      <c r="D27" s="100">
        <v>70.269000000000005</v>
      </c>
      <c r="E27" s="100">
        <v>266.41000000000003</v>
      </c>
      <c r="F27" s="101">
        <f t="shared" si="0"/>
        <v>18720.364290000005</v>
      </c>
      <c r="G27" s="102">
        <f t="shared" si="1"/>
        <v>5.3681627719804009E-4</v>
      </c>
      <c r="H27" s="102" t="s">
        <v>243</v>
      </c>
      <c r="I27" s="103" t="str">
        <f t="shared" si="2"/>
        <v/>
      </c>
      <c r="J27" s="103">
        <v>0.15024999999999999</v>
      </c>
      <c r="K27" s="103">
        <f t="shared" si="3"/>
        <v>8.0656645649005527E-5</v>
      </c>
    </row>
    <row r="28" spans="2:11" ht="15" customHeight="1">
      <c r="B28" s="98" t="s">
        <v>256</v>
      </c>
      <c r="C28" s="99" t="s">
        <v>257</v>
      </c>
      <c r="D28" s="100">
        <v>211.72499999999999</v>
      </c>
      <c r="E28" s="100">
        <v>155.41</v>
      </c>
      <c r="F28" s="101">
        <f t="shared" si="0"/>
        <v>32904.182249999998</v>
      </c>
      <c r="G28" s="102">
        <f t="shared" si="1"/>
        <v>9.4354470597168198E-4</v>
      </c>
      <c r="H28" s="102">
        <v>4.1696158548355962E-2</v>
      </c>
      <c r="I28" s="103">
        <f t="shared" si="2"/>
        <v>3.9342189657657157E-5</v>
      </c>
      <c r="J28" s="103">
        <v>3.3000000000000002E-2</v>
      </c>
      <c r="K28" s="103">
        <f t="shared" si="3"/>
        <v>3.1136975297065509E-5</v>
      </c>
    </row>
    <row r="29" spans="2:11" ht="15" customHeight="1">
      <c r="B29" s="98" t="s">
        <v>258</v>
      </c>
      <c r="C29" s="99" t="s">
        <v>259</v>
      </c>
      <c r="D29" s="100">
        <v>4485.9279999999999</v>
      </c>
      <c r="E29" s="100">
        <v>115.12</v>
      </c>
      <c r="F29" s="101">
        <f t="shared" si="0"/>
        <v>516420.03136000002</v>
      </c>
      <c r="G29" s="102">
        <f t="shared" si="1"/>
        <v>1.4808615602275241E-2</v>
      </c>
      <c r="H29" s="102">
        <v>3.30090340514246E-2</v>
      </c>
      <c r="I29" s="103">
        <f t="shared" si="2"/>
        <v>4.8881809666996101E-4</v>
      </c>
      <c r="J29" s="103">
        <v>0.06</v>
      </c>
      <c r="K29" s="103">
        <f t="shared" si="3"/>
        <v>8.8851693613651445E-4</v>
      </c>
    </row>
    <row r="30" spans="2:11" ht="15" customHeight="1">
      <c r="B30" s="98" t="s">
        <v>260</v>
      </c>
      <c r="C30" s="99" t="s">
        <v>261</v>
      </c>
      <c r="D30" s="100">
        <v>423.952</v>
      </c>
      <c r="E30" s="100">
        <v>141.16999999999999</v>
      </c>
      <c r="F30" s="101">
        <f t="shared" si="0"/>
        <v>59849.303839999993</v>
      </c>
      <c r="G30" s="102" t="str">
        <f t="shared" si="1"/>
        <v/>
      </c>
      <c r="H30" s="102">
        <v>3.2584826804561873E-2</v>
      </c>
      <c r="I30" s="103" t="str">
        <f t="shared" si="2"/>
        <v/>
      </c>
      <c r="J30" s="103" t="s">
        <v>243</v>
      </c>
      <c r="K30" s="103" t="str">
        <f t="shared" si="3"/>
        <v/>
      </c>
    </row>
    <row r="31" spans="2:11" ht="15" customHeight="1">
      <c r="B31" s="98" t="s">
        <v>262</v>
      </c>
      <c r="C31" s="99" t="s">
        <v>263</v>
      </c>
      <c r="D31" s="100">
        <v>1094.607</v>
      </c>
      <c r="E31" s="100">
        <v>158.97</v>
      </c>
      <c r="F31" s="101">
        <f t="shared" si="0"/>
        <v>174009.67478999999</v>
      </c>
      <c r="G31" s="102" t="str">
        <f t="shared" si="1"/>
        <v/>
      </c>
      <c r="H31" s="102">
        <v>7.0453544693967422E-3</v>
      </c>
      <c r="I31" s="103" t="str">
        <f t="shared" si="2"/>
        <v/>
      </c>
      <c r="J31" s="103">
        <v>0.32590000000000002</v>
      </c>
      <c r="K31" s="103" t="str">
        <f t="shared" si="3"/>
        <v/>
      </c>
    </row>
    <row r="32" spans="2:11" ht="15" customHeight="1">
      <c r="B32" s="98" t="s">
        <v>264</v>
      </c>
      <c r="C32" s="99" t="s">
        <v>265</v>
      </c>
      <c r="D32" s="100">
        <v>978.56</v>
      </c>
      <c r="E32" s="100">
        <v>35.020000000000003</v>
      </c>
      <c r="F32" s="101">
        <f t="shared" si="0"/>
        <v>34269.171200000004</v>
      </c>
      <c r="G32" s="102">
        <f t="shared" si="1"/>
        <v>9.8268648095022147E-4</v>
      </c>
      <c r="H32" s="102">
        <v>3.1479154768703596E-2</v>
      </c>
      <c r="I32" s="103">
        <f t="shared" si="2"/>
        <v>3.0934139822944719E-5</v>
      </c>
      <c r="J32" s="103">
        <v>5.1200000000000002E-2</v>
      </c>
      <c r="K32" s="103">
        <f t="shared" si="3"/>
        <v>5.0313547824651342E-5</v>
      </c>
    </row>
    <row r="33" spans="2:11" ht="15" customHeight="1">
      <c r="B33" s="98" t="s">
        <v>266</v>
      </c>
      <c r="C33" s="99" t="s">
        <v>267</v>
      </c>
      <c r="D33" s="100">
        <v>991.61400000000003</v>
      </c>
      <c r="E33" s="100">
        <v>344.24</v>
      </c>
      <c r="F33" s="101">
        <f t="shared" si="0"/>
        <v>341353.20336000004</v>
      </c>
      <c r="G33" s="102">
        <f t="shared" si="1"/>
        <v>9.7884823713193184E-3</v>
      </c>
      <c r="H33" s="102">
        <v>2.6144550313734603E-2</v>
      </c>
      <c r="I33" s="103">
        <f t="shared" si="2"/>
        <v>2.559154698520621E-4</v>
      </c>
      <c r="J33" s="103">
        <v>3.4300000000000004E-2</v>
      </c>
      <c r="K33" s="103">
        <f t="shared" si="3"/>
        <v>3.3574494533625265E-4</v>
      </c>
    </row>
    <row r="34" spans="2:11" ht="15" customHeight="1">
      <c r="B34" s="98" t="s">
        <v>268</v>
      </c>
      <c r="C34" s="99" t="s">
        <v>269</v>
      </c>
      <c r="D34" s="100">
        <v>48.671999999999997</v>
      </c>
      <c r="E34" s="100">
        <v>821.68</v>
      </c>
      <c r="F34" s="101">
        <f t="shared" si="0"/>
        <v>39992.808959999995</v>
      </c>
      <c r="G34" s="102">
        <f t="shared" si="1"/>
        <v>1.1468147995425369E-3</v>
      </c>
      <c r="H34" s="102">
        <v>6.0850939538506475E-3</v>
      </c>
      <c r="I34" s="103">
        <f t="shared" si="2"/>
        <v>6.978475802882734E-6</v>
      </c>
      <c r="J34" s="103">
        <v>0.18</v>
      </c>
      <c r="K34" s="103">
        <f t="shared" si="3"/>
        <v>2.0642666391765664E-4</v>
      </c>
    </row>
    <row r="35" spans="2:11" ht="15" customHeight="1">
      <c r="B35" s="98" t="s">
        <v>270</v>
      </c>
      <c r="C35" s="99" t="s">
        <v>271</v>
      </c>
      <c r="D35" s="100">
        <v>918.60299999999995</v>
      </c>
      <c r="E35" s="100">
        <v>172.95</v>
      </c>
      <c r="F35" s="101">
        <f t="shared" si="0"/>
        <v>158872.38884999999</v>
      </c>
      <c r="G35" s="102">
        <f t="shared" si="1"/>
        <v>4.5557491836616601E-3</v>
      </c>
      <c r="H35" s="102">
        <v>3.8623879734027179E-2</v>
      </c>
      <c r="I35" s="103">
        <f t="shared" si="2"/>
        <v>1.7596070856814046E-4</v>
      </c>
      <c r="J35" s="103">
        <v>3.1899999999999998E-2</v>
      </c>
      <c r="K35" s="103">
        <f t="shared" si="3"/>
        <v>1.4532839895880695E-4</v>
      </c>
    </row>
    <row r="36" spans="2:11" ht="15" customHeight="1">
      <c r="B36" s="98" t="s">
        <v>272</v>
      </c>
      <c r="C36" s="99" t="s">
        <v>273</v>
      </c>
      <c r="D36" s="100">
        <v>2406.6790000000001</v>
      </c>
      <c r="E36" s="100">
        <v>146.16</v>
      </c>
      <c r="F36" s="101">
        <f t="shared" si="0"/>
        <v>351760.20264000003</v>
      </c>
      <c r="G36" s="102">
        <f t="shared" si="1"/>
        <v>1.0086908541010714E-2</v>
      </c>
      <c r="H36" s="102">
        <v>3.3935413245758071E-2</v>
      </c>
      <c r="I36" s="103">
        <f t="shared" si="2"/>
        <v>3.4230340971136522E-4</v>
      </c>
      <c r="J36" s="103">
        <v>4.9850000000000005E-2</v>
      </c>
      <c r="K36" s="103">
        <f t="shared" si="3"/>
        <v>5.0283239076938412E-4</v>
      </c>
    </row>
    <row r="37" spans="2:11" ht="15" customHeight="1">
      <c r="B37" s="98" t="s">
        <v>1250</v>
      </c>
      <c r="C37" s="99" t="s">
        <v>1251</v>
      </c>
      <c r="D37" s="100">
        <v>119.886</v>
      </c>
      <c r="E37" s="100">
        <v>298.7</v>
      </c>
      <c r="F37" s="101">
        <f t="shared" si="0"/>
        <v>35809.948199999999</v>
      </c>
      <c r="G37" s="102">
        <f t="shared" si="1"/>
        <v>1.0268690705793233E-3</v>
      </c>
      <c r="H37" s="102" t="s">
        <v>243</v>
      </c>
      <c r="I37" s="103" t="str">
        <f t="shared" si="2"/>
        <v/>
      </c>
      <c r="J37" s="103">
        <v>7.0000000000000007E-2</v>
      </c>
      <c r="K37" s="103">
        <f t="shared" si="3"/>
        <v>7.1880834940552646E-5</v>
      </c>
    </row>
    <row r="38" spans="2:11" ht="15" customHeight="1">
      <c r="B38" s="98" t="s">
        <v>274</v>
      </c>
      <c r="C38" s="99" t="s">
        <v>275</v>
      </c>
      <c r="D38" s="100">
        <v>720.68200000000002</v>
      </c>
      <c r="E38" s="100">
        <v>254.84</v>
      </c>
      <c r="F38" s="101">
        <f t="shared" si="0"/>
        <v>183658.60088000001</v>
      </c>
      <c r="G38" s="102">
        <f t="shared" si="1"/>
        <v>5.2665068303434318E-3</v>
      </c>
      <c r="H38" s="102">
        <v>2.6212525506199968E-2</v>
      </c>
      <c r="I38" s="103">
        <f t="shared" si="2"/>
        <v>1.3804844461895354E-4</v>
      </c>
      <c r="J38" s="103">
        <v>7.5050000000000006E-2</v>
      </c>
      <c r="K38" s="103">
        <f t="shared" si="3"/>
        <v>3.9525133761727458E-4</v>
      </c>
    </row>
    <row r="39" spans="2:11" ht="15" customHeight="1">
      <c r="B39" s="98" t="s">
        <v>276</v>
      </c>
      <c r="C39" s="99" t="s">
        <v>277</v>
      </c>
      <c r="D39" s="100">
        <v>2532.806</v>
      </c>
      <c r="E39" s="100">
        <v>123.8</v>
      </c>
      <c r="F39" s="101">
        <f t="shared" si="0"/>
        <v>313561.38280000002</v>
      </c>
      <c r="G39" s="102">
        <f t="shared" si="1"/>
        <v>8.9915373216150982E-3</v>
      </c>
      <c r="H39" s="102">
        <v>2.4878836833602588E-2</v>
      </c>
      <c r="I39" s="103">
        <f t="shared" si="2"/>
        <v>2.2369898990771007E-4</v>
      </c>
      <c r="J39" s="103">
        <v>0.11</v>
      </c>
      <c r="K39" s="103">
        <f t="shared" si="3"/>
        <v>9.8906910537766078E-4</v>
      </c>
    </row>
    <row r="40" spans="2:11" ht="15" customHeight="1">
      <c r="B40" s="98" t="s">
        <v>278</v>
      </c>
      <c r="C40" s="99" t="s">
        <v>279</v>
      </c>
      <c r="D40" s="100">
        <v>553.36099999999999</v>
      </c>
      <c r="E40" s="100">
        <v>102.19</v>
      </c>
      <c r="F40" s="101">
        <f t="shared" si="0"/>
        <v>56547.960589999995</v>
      </c>
      <c r="G40" s="102" t="str">
        <f t="shared" si="1"/>
        <v/>
      </c>
      <c r="H40" s="102">
        <v>2.7399941285840102E-2</v>
      </c>
      <c r="I40" s="103" t="str">
        <f t="shared" si="2"/>
        <v/>
      </c>
      <c r="J40" s="103">
        <v>-7.145E-2</v>
      </c>
      <c r="K40" s="103" t="str">
        <f t="shared" si="3"/>
        <v/>
      </c>
    </row>
    <row r="41" spans="2:11" ht="15" customHeight="1">
      <c r="B41" s="98" t="s">
        <v>280</v>
      </c>
      <c r="C41" s="99" t="s">
        <v>281</v>
      </c>
      <c r="D41" s="100">
        <v>194.82300000000001</v>
      </c>
      <c r="E41" s="100">
        <v>129.16</v>
      </c>
      <c r="F41" s="101">
        <f t="shared" si="0"/>
        <v>25163.338680000001</v>
      </c>
      <c r="G41" s="102">
        <f t="shared" si="1"/>
        <v>7.2157195142226807E-4</v>
      </c>
      <c r="H41" s="102">
        <v>2.3691545370083618E-2</v>
      </c>
      <c r="I41" s="103">
        <f t="shared" si="2"/>
        <v>1.7095154624900437E-5</v>
      </c>
      <c r="J41" s="103">
        <v>0.08</v>
      </c>
      <c r="K41" s="103">
        <f t="shared" si="3"/>
        <v>5.772575611378145E-5</v>
      </c>
    </row>
    <row r="42" spans="2:11" ht="15" customHeight="1">
      <c r="B42" s="98" t="s">
        <v>282</v>
      </c>
      <c r="C42" s="99" t="s">
        <v>283</v>
      </c>
      <c r="D42" s="100">
        <v>7820.37</v>
      </c>
      <c r="E42" s="100">
        <v>39.770000000000003</v>
      </c>
      <c r="F42" s="101">
        <f t="shared" si="0"/>
        <v>311016.11490000004</v>
      </c>
      <c r="G42" s="102" t="str">
        <f t="shared" si="1"/>
        <v/>
      </c>
      <c r="H42" s="102">
        <v>2.4138798089011815E-2</v>
      </c>
      <c r="I42" s="103" t="str">
        <f t="shared" si="2"/>
        <v/>
      </c>
      <c r="J42" s="103">
        <v>-0.06</v>
      </c>
      <c r="K42" s="103" t="str">
        <f t="shared" si="3"/>
        <v/>
      </c>
    </row>
    <row r="43" spans="2:11" ht="15" customHeight="1">
      <c r="B43" s="98" t="s">
        <v>284</v>
      </c>
      <c r="C43" s="99" t="s">
        <v>285</v>
      </c>
      <c r="D43" s="100">
        <v>5666.5929999999998</v>
      </c>
      <c r="E43" s="100">
        <v>27.98</v>
      </c>
      <c r="F43" s="101">
        <f t="shared" si="0"/>
        <v>158551.27213999999</v>
      </c>
      <c r="G43" s="102">
        <f t="shared" si="1"/>
        <v>4.5465409933648305E-3</v>
      </c>
      <c r="H43" s="102">
        <v>6.0042887776983557E-2</v>
      </c>
      <c r="I43" s="103">
        <f t="shared" si="2"/>
        <v>2.7298745063805983E-4</v>
      </c>
      <c r="J43" s="103">
        <v>7.7229999999999993E-2</v>
      </c>
      <c r="K43" s="103">
        <f t="shared" si="3"/>
        <v>3.5112936091756585E-4</v>
      </c>
    </row>
    <row r="44" spans="2:11" ht="15" customHeight="1">
      <c r="B44" s="98" t="s">
        <v>286</v>
      </c>
      <c r="C44" s="99" t="s">
        <v>287</v>
      </c>
      <c r="D44" s="100">
        <v>2360.1350000000002</v>
      </c>
      <c r="E44" s="100">
        <v>164.92</v>
      </c>
      <c r="F44" s="101">
        <f t="shared" si="0"/>
        <v>389233.46419999999</v>
      </c>
      <c r="G44" s="102">
        <f t="shared" si="1"/>
        <v>1.1161473995693305E-2</v>
      </c>
      <c r="H44" s="102">
        <v>2.4411836041717198E-2</v>
      </c>
      <c r="I44" s="103">
        <f t="shared" si="2"/>
        <v>2.724720731667551E-4</v>
      </c>
      <c r="J44" s="103">
        <v>8.09E-2</v>
      </c>
      <c r="K44" s="103">
        <f t="shared" si="3"/>
        <v>9.0296324625158836E-4</v>
      </c>
    </row>
    <row r="45" spans="2:11" ht="15" customHeight="1">
      <c r="B45" s="98" t="s">
        <v>288</v>
      </c>
      <c r="C45" s="99" t="s">
        <v>289</v>
      </c>
      <c r="D45" s="100">
        <v>7170.165</v>
      </c>
      <c r="E45" s="100">
        <v>19.11</v>
      </c>
      <c r="F45" s="101">
        <f t="shared" si="0"/>
        <v>137021.85314999998</v>
      </c>
      <c r="G45" s="102">
        <f t="shared" si="1"/>
        <v>3.9291735974417577E-3</v>
      </c>
      <c r="H45" s="102">
        <v>5.8084772370486662E-2</v>
      </c>
      <c r="I45" s="103">
        <f t="shared" si="2"/>
        <v>2.2822515401153069E-4</v>
      </c>
      <c r="J45" s="103">
        <v>1.6299999999999999E-2</v>
      </c>
      <c r="K45" s="103">
        <f t="shared" si="3"/>
        <v>6.4045529638300639E-5</v>
      </c>
    </row>
    <row r="46" spans="2:11" ht="15" customHeight="1">
      <c r="B46" s="98" t="s">
        <v>290</v>
      </c>
      <c r="C46" s="99" t="s">
        <v>291</v>
      </c>
      <c r="D46" s="100">
        <v>228.99299999999999</v>
      </c>
      <c r="E46" s="100">
        <v>203.34</v>
      </c>
      <c r="F46" s="101">
        <f t="shared" si="0"/>
        <v>46563.43662</v>
      </c>
      <c r="G46" s="102">
        <f t="shared" si="1"/>
        <v>1.3352309983223774E-3</v>
      </c>
      <c r="H46" s="102">
        <v>2.0655060489820007E-2</v>
      </c>
      <c r="I46" s="103">
        <f t="shared" si="2"/>
        <v>2.7579277038231461E-5</v>
      </c>
      <c r="J46" s="103">
        <v>0.18239999999999998</v>
      </c>
      <c r="K46" s="103">
        <f t="shared" si="3"/>
        <v>2.4354613409400161E-4</v>
      </c>
    </row>
    <row r="47" spans="2:11" ht="15" customHeight="1">
      <c r="B47" s="98" t="s">
        <v>1225</v>
      </c>
      <c r="C47" s="99" t="s">
        <v>292</v>
      </c>
      <c r="D47" s="100">
        <v>1329.5060000000001</v>
      </c>
      <c r="E47" s="100">
        <v>100.39</v>
      </c>
      <c r="F47" s="101">
        <f t="shared" si="0"/>
        <v>133469.10734000002</v>
      </c>
      <c r="G47" s="102">
        <f t="shared" si="1"/>
        <v>3.8272967455808202E-3</v>
      </c>
      <c r="H47" s="102">
        <v>2.5102101802968423E-2</v>
      </c>
      <c r="I47" s="103">
        <f t="shared" si="2"/>
        <v>9.6073192537739482E-5</v>
      </c>
      <c r="J47" s="103">
        <v>0.10615000000000001</v>
      </c>
      <c r="K47" s="103">
        <f t="shared" si="3"/>
        <v>4.0626754954340409E-4</v>
      </c>
    </row>
    <row r="48" spans="2:11" ht="15" customHeight="1">
      <c r="B48" s="98" t="s">
        <v>293</v>
      </c>
      <c r="C48" s="99" t="s">
        <v>294</v>
      </c>
      <c r="D48" s="100">
        <v>496.21699999999998</v>
      </c>
      <c r="E48" s="100">
        <v>228.26</v>
      </c>
      <c r="F48" s="101">
        <f t="shared" si="0"/>
        <v>113266.49242</v>
      </c>
      <c r="G48" s="102" t="str">
        <f t="shared" si="1"/>
        <v/>
      </c>
      <c r="H48" s="102">
        <v>1.6121966178918777E-2</v>
      </c>
      <c r="I48" s="103" t="str">
        <f t="shared" si="2"/>
        <v/>
      </c>
      <c r="J48" s="103">
        <v>-2.7450000000000002E-2</v>
      </c>
      <c r="K48" s="103" t="str">
        <f t="shared" si="3"/>
        <v/>
      </c>
    </row>
    <row r="49" spans="2:11" ht="15" customHeight="1">
      <c r="B49" s="98" t="s">
        <v>295</v>
      </c>
      <c r="C49" s="99" t="s">
        <v>296</v>
      </c>
      <c r="D49" s="100">
        <v>8043.5429999999997</v>
      </c>
      <c r="E49" s="100">
        <v>67.709999999999994</v>
      </c>
      <c r="F49" s="101">
        <f t="shared" si="0"/>
        <v>544628.29652999993</v>
      </c>
      <c r="G49" s="102">
        <f t="shared" si="1"/>
        <v>1.5617502419871166E-2</v>
      </c>
      <c r="H49" s="102">
        <v>1.2258159799143407E-2</v>
      </c>
      <c r="I49" s="103">
        <f t="shared" si="2"/>
        <v>1.914418403262896E-4</v>
      </c>
      <c r="J49" s="103">
        <v>8.2299999999999998E-2</v>
      </c>
      <c r="K49" s="103">
        <f t="shared" si="3"/>
        <v>1.2853204491553969E-3</v>
      </c>
    </row>
    <row r="50" spans="2:11" ht="15" customHeight="1">
      <c r="B50" s="98" t="s">
        <v>297</v>
      </c>
      <c r="C50" s="99" t="s">
        <v>298</v>
      </c>
      <c r="D50" s="100">
        <v>4049.1869999999999</v>
      </c>
      <c r="E50" s="100">
        <v>47.51</v>
      </c>
      <c r="F50" s="101">
        <f t="shared" si="0"/>
        <v>192376.87436999998</v>
      </c>
      <c r="G50" s="102" t="str">
        <f t="shared" si="1"/>
        <v/>
      </c>
      <c r="H50" s="102">
        <v>3.3677120606188174E-2</v>
      </c>
      <c r="I50" s="103" t="str">
        <f t="shared" si="2"/>
        <v/>
      </c>
      <c r="J50" s="103">
        <v>-8.9999999999999998E-4</v>
      </c>
      <c r="K50" s="103" t="str">
        <f t="shared" si="3"/>
        <v/>
      </c>
    </row>
    <row r="51" spans="2:11" ht="15" customHeight="1">
      <c r="B51" s="98" t="s">
        <v>299</v>
      </c>
      <c r="C51" s="99" t="s">
        <v>300</v>
      </c>
      <c r="D51" s="100">
        <v>4256.8720000000003</v>
      </c>
      <c r="E51" s="100">
        <v>30.97</v>
      </c>
      <c r="F51" s="101">
        <f t="shared" si="0"/>
        <v>131835.32584</v>
      </c>
      <c r="G51" s="102">
        <f t="shared" si="1"/>
        <v>3.7804472030719956E-3</v>
      </c>
      <c r="H51" s="102">
        <v>1.6144656118824669E-2</v>
      </c>
      <c r="I51" s="103">
        <f t="shared" si="2"/>
        <v>6.1034020068969902E-5</v>
      </c>
      <c r="J51" s="103">
        <v>0.11395</v>
      </c>
      <c r="K51" s="103">
        <f t="shared" si="3"/>
        <v>4.307819587900539E-4</v>
      </c>
    </row>
    <row r="52" spans="2:11" ht="15" customHeight="1">
      <c r="B52" s="98" t="s">
        <v>301</v>
      </c>
      <c r="C52" s="99" t="s">
        <v>302</v>
      </c>
      <c r="D52" s="100">
        <v>1140.395</v>
      </c>
      <c r="E52" s="100">
        <v>46.46</v>
      </c>
      <c r="F52" s="101">
        <f t="shared" si="0"/>
        <v>52982.751700000001</v>
      </c>
      <c r="G52" s="102">
        <f t="shared" si="1"/>
        <v>1.5193082294074377E-3</v>
      </c>
      <c r="H52" s="102">
        <v>1.0331467929401636E-2</v>
      </c>
      <c r="I52" s="103">
        <f t="shared" si="2"/>
        <v>1.5696684246998925E-5</v>
      </c>
      <c r="J52" s="103">
        <v>0.16070000000000001</v>
      </c>
      <c r="K52" s="103">
        <f t="shared" si="3"/>
        <v>2.4415283246577527E-4</v>
      </c>
    </row>
    <row r="53" spans="2:11" ht="15" customHeight="1">
      <c r="B53" s="98" t="s">
        <v>303</v>
      </c>
      <c r="C53" s="99" t="s">
        <v>304</v>
      </c>
      <c r="D53" s="100">
        <v>7432.3059999999996</v>
      </c>
      <c r="E53" s="100">
        <v>446.95</v>
      </c>
      <c r="F53" s="101">
        <f t="shared" si="0"/>
        <v>3321869.1666999999</v>
      </c>
      <c r="G53" s="102">
        <f t="shared" si="1"/>
        <v>9.5256342867185165E-2</v>
      </c>
      <c r="H53" s="102">
        <v>6.7121601968900329E-3</v>
      </c>
      <c r="I53" s="103">
        <f t="shared" si="2"/>
        <v>6.3937583309443011E-4</v>
      </c>
      <c r="J53" s="103">
        <v>0.14804999999999999</v>
      </c>
      <c r="K53" s="103">
        <f t="shared" si="3"/>
        <v>1.4102701561486762E-2</v>
      </c>
    </row>
    <row r="54" spans="2:11" ht="15" customHeight="1">
      <c r="B54" s="98" t="s">
        <v>305</v>
      </c>
      <c r="C54" s="99" t="s">
        <v>306</v>
      </c>
      <c r="D54" s="100">
        <v>219.89500000000001</v>
      </c>
      <c r="E54" s="100">
        <v>132.22999999999999</v>
      </c>
      <c r="F54" s="101">
        <f t="shared" si="0"/>
        <v>29076.715850000001</v>
      </c>
      <c r="G54" s="102" t="str">
        <f t="shared" si="1"/>
        <v/>
      </c>
      <c r="H54" s="102">
        <v>1.7847689631702336E-2</v>
      </c>
      <c r="I54" s="103" t="str">
        <f t="shared" si="2"/>
        <v/>
      </c>
      <c r="J54" s="103">
        <v>-1.9199999999999998E-2</v>
      </c>
      <c r="K54" s="103" t="str">
        <f t="shared" si="3"/>
        <v/>
      </c>
    </row>
    <row r="55" spans="2:11" ht="15" customHeight="1">
      <c r="B55" s="98" t="s">
        <v>1193</v>
      </c>
      <c r="C55" s="99" t="s">
        <v>307</v>
      </c>
      <c r="D55" s="100">
        <v>284.07400000000001</v>
      </c>
      <c r="E55" s="100">
        <v>330.57</v>
      </c>
      <c r="F55" s="101">
        <f t="shared" si="0"/>
        <v>93906.342180000007</v>
      </c>
      <c r="G55" s="102">
        <f t="shared" si="1"/>
        <v>2.6928136778449881E-3</v>
      </c>
      <c r="H55" s="102">
        <v>1.6940436216232566E-2</v>
      </c>
      <c r="I55" s="103">
        <f t="shared" si="2"/>
        <v>4.561743835173165E-5</v>
      </c>
      <c r="J55" s="103">
        <v>0.11650000000000001</v>
      </c>
      <c r="K55" s="103">
        <f t="shared" si="3"/>
        <v>3.1371279346894111E-4</v>
      </c>
    </row>
    <row r="56" spans="2:11" ht="15" customHeight="1">
      <c r="B56" s="98" t="s">
        <v>308</v>
      </c>
      <c r="C56" s="99" t="s">
        <v>309</v>
      </c>
      <c r="D56" s="100">
        <v>2219.384</v>
      </c>
      <c r="E56" s="100">
        <v>19.87</v>
      </c>
      <c r="F56" s="101">
        <f t="shared" si="0"/>
        <v>44099.160080000001</v>
      </c>
      <c r="G56" s="102">
        <f t="shared" si="1"/>
        <v>1.2645665743989654E-3</v>
      </c>
      <c r="H56" s="102">
        <v>5.7876195269250121E-2</v>
      </c>
      <c r="I56" s="103">
        <f t="shared" si="2"/>
        <v>7.3188301990881227E-5</v>
      </c>
      <c r="J56" s="103">
        <v>5.8600000000000006E-2</v>
      </c>
      <c r="K56" s="103">
        <f t="shared" si="3"/>
        <v>7.4103601259779383E-5</v>
      </c>
    </row>
    <row r="57" spans="2:11" ht="15" customHeight="1">
      <c r="B57" s="98" t="s">
        <v>310</v>
      </c>
      <c r="C57" s="99" t="s">
        <v>311</v>
      </c>
      <c r="D57" s="100">
        <v>1907.44</v>
      </c>
      <c r="E57" s="100">
        <v>63.46</v>
      </c>
      <c r="F57" s="101">
        <f t="shared" si="0"/>
        <v>121046.14240000001</v>
      </c>
      <c r="G57" s="102" t="str">
        <f t="shared" si="1"/>
        <v/>
      </c>
      <c r="H57" s="102">
        <v>3.3406870469587145E-2</v>
      </c>
      <c r="I57" s="103" t="str">
        <f t="shared" si="2"/>
        <v/>
      </c>
      <c r="J57" s="103">
        <v>0.2767</v>
      </c>
      <c r="K57" s="103" t="str">
        <f t="shared" si="3"/>
        <v/>
      </c>
    </row>
    <row r="58" spans="2:11" ht="15" customHeight="1">
      <c r="B58" s="98" t="s">
        <v>312</v>
      </c>
      <c r="C58" s="99" t="s">
        <v>313</v>
      </c>
      <c r="D58" s="100">
        <v>663.66800000000001</v>
      </c>
      <c r="E58" s="100">
        <v>74.239999999999995</v>
      </c>
      <c r="F58" s="101">
        <f t="shared" si="0"/>
        <v>49270.712319999999</v>
      </c>
      <c r="G58" s="102">
        <f t="shared" si="1"/>
        <v>1.4128635507721736E-3</v>
      </c>
      <c r="H58" s="102">
        <v>2.1551724137931036E-2</v>
      </c>
      <c r="I58" s="103">
        <f t="shared" si="2"/>
        <v>3.0449645490779604E-5</v>
      </c>
      <c r="J58" s="103">
        <v>0.1409</v>
      </c>
      <c r="K58" s="103">
        <f t="shared" si="3"/>
        <v>1.9907247430379926E-4</v>
      </c>
    </row>
    <row r="59" spans="2:11" ht="15" customHeight="1">
      <c r="B59" s="98" t="s">
        <v>314</v>
      </c>
      <c r="C59" s="99" t="s">
        <v>315</v>
      </c>
      <c r="D59" s="100">
        <v>1717.626</v>
      </c>
      <c r="E59" s="100">
        <v>45.55</v>
      </c>
      <c r="F59" s="101">
        <f t="shared" si="0"/>
        <v>78237.864300000001</v>
      </c>
      <c r="G59" s="102">
        <f t="shared" si="1"/>
        <v>2.2435118461816769E-3</v>
      </c>
      <c r="H59" s="102">
        <v>8.6059275521405049E-2</v>
      </c>
      <c r="I59" s="103">
        <f t="shared" si="2"/>
        <v>1.9307500410608504E-4</v>
      </c>
      <c r="J59" s="103">
        <v>3.8900000000000004E-2</v>
      </c>
      <c r="K59" s="103">
        <f t="shared" si="3"/>
        <v>8.7272610816467244E-5</v>
      </c>
    </row>
    <row r="60" spans="2:11" ht="15" customHeight="1">
      <c r="B60" s="98" t="s">
        <v>316</v>
      </c>
      <c r="C60" s="99" t="s">
        <v>317</v>
      </c>
      <c r="D60" s="100">
        <v>261.91399999999999</v>
      </c>
      <c r="E60" s="100">
        <v>321.27999999999997</v>
      </c>
      <c r="F60" s="101">
        <f t="shared" si="0"/>
        <v>84147.729919999983</v>
      </c>
      <c r="G60" s="102">
        <f t="shared" si="1"/>
        <v>2.4129803464588732E-3</v>
      </c>
      <c r="H60" s="102">
        <v>8.217131474103587E-3</v>
      </c>
      <c r="I60" s="103">
        <f t="shared" si="2"/>
        <v>1.9827776751280587E-5</v>
      </c>
      <c r="J60" s="103">
        <v>9.5649999999999999E-2</v>
      </c>
      <c r="K60" s="103">
        <f t="shared" si="3"/>
        <v>2.3080157013879123E-4</v>
      </c>
    </row>
    <row r="61" spans="2:11" ht="15" customHeight="1">
      <c r="B61" s="98" t="s">
        <v>318</v>
      </c>
      <c r="C61" s="99" t="s">
        <v>319</v>
      </c>
      <c r="D61" s="100">
        <v>347.33199999999999</v>
      </c>
      <c r="E61" s="100">
        <v>43.15</v>
      </c>
      <c r="F61" s="101">
        <f t="shared" si="0"/>
        <v>14987.3758</v>
      </c>
      <c r="G61" s="102" t="str">
        <f t="shared" si="1"/>
        <v/>
      </c>
      <c r="H61" s="102">
        <v>4.2873696407879497E-2</v>
      </c>
      <c r="I61" s="103" t="str">
        <f t="shared" si="2"/>
        <v/>
      </c>
      <c r="J61" s="103">
        <v>-0.02</v>
      </c>
      <c r="K61" s="103" t="str">
        <f t="shared" si="3"/>
        <v/>
      </c>
    </row>
    <row r="62" spans="2:11" ht="15" customHeight="1">
      <c r="B62" s="98" t="s">
        <v>320</v>
      </c>
      <c r="C62" s="99" t="s">
        <v>321</v>
      </c>
      <c r="D62" s="100">
        <v>1299.673</v>
      </c>
      <c r="E62" s="100">
        <v>21.17</v>
      </c>
      <c r="F62" s="101">
        <f t="shared" si="0"/>
        <v>27514.077410000002</v>
      </c>
      <c r="G62" s="102">
        <f t="shared" si="1"/>
        <v>7.8898061901843959E-4</v>
      </c>
      <c r="H62" s="102">
        <v>2.4563060935285781E-2</v>
      </c>
      <c r="I62" s="103">
        <f t="shared" si="2"/>
        <v>1.9379779021709427E-5</v>
      </c>
      <c r="J62" s="103">
        <v>3.73E-2</v>
      </c>
      <c r="K62" s="103">
        <f t="shared" si="3"/>
        <v>2.9428977089387796E-5</v>
      </c>
    </row>
    <row r="63" spans="2:11" ht="15" customHeight="1">
      <c r="B63" s="98" t="s">
        <v>322</v>
      </c>
      <c r="C63" s="99" t="s">
        <v>323</v>
      </c>
      <c r="D63" s="100">
        <v>1739.634</v>
      </c>
      <c r="E63" s="100">
        <v>103.91</v>
      </c>
      <c r="F63" s="101">
        <f t="shared" si="0"/>
        <v>180765.36893999999</v>
      </c>
      <c r="G63" s="102">
        <f t="shared" si="1"/>
        <v>5.1835418850548981E-3</v>
      </c>
      <c r="H63" s="102">
        <v>2.1172168222500242E-2</v>
      </c>
      <c r="I63" s="103">
        <f t="shared" si="2"/>
        <v>1.0974682077875832E-4</v>
      </c>
      <c r="J63" s="103">
        <v>0.08</v>
      </c>
      <c r="K63" s="103">
        <f t="shared" si="3"/>
        <v>4.1468335080439188E-4</v>
      </c>
    </row>
    <row r="64" spans="2:11" ht="15" customHeight="1">
      <c r="B64" s="98" t="s">
        <v>324</v>
      </c>
      <c r="C64" s="99" t="s">
        <v>325</v>
      </c>
      <c r="D64" s="100">
        <v>568.22199999999998</v>
      </c>
      <c r="E64" s="100">
        <v>89.31</v>
      </c>
      <c r="F64" s="101">
        <f t="shared" si="0"/>
        <v>50747.906819999997</v>
      </c>
      <c r="G64" s="102">
        <f t="shared" si="1"/>
        <v>1.4552228788228042E-3</v>
      </c>
      <c r="H64" s="102">
        <v>2.2393908856790951E-2</v>
      </c>
      <c r="I64" s="103">
        <f t="shared" si="2"/>
        <v>3.2588128514674821E-5</v>
      </c>
      <c r="J64" s="103">
        <v>7.5499999999999998E-2</v>
      </c>
      <c r="K64" s="103">
        <f t="shared" si="3"/>
        <v>1.0986932735112172E-4</v>
      </c>
    </row>
    <row r="65" spans="2:11" ht="15" customHeight="1">
      <c r="B65" s="98" t="s">
        <v>326</v>
      </c>
      <c r="C65" s="99" t="s">
        <v>327</v>
      </c>
      <c r="D65" s="100">
        <v>222.30600000000001</v>
      </c>
      <c r="E65" s="100">
        <v>256.27999999999997</v>
      </c>
      <c r="F65" s="101">
        <f t="shared" si="0"/>
        <v>56972.581679999996</v>
      </c>
      <c r="G65" s="102">
        <f t="shared" si="1"/>
        <v>1.6337186993821504E-3</v>
      </c>
      <c r="H65" s="102">
        <v>2.7626034025284848E-2</v>
      </c>
      <c r="I65" s="103">
        <f t="shared" si="2"/>
        <v>4.5133168376875393E-5</v>
      </c>
      <c r="J65" s="103">
        <v>9.6250000000000002E-2</v>
      </c>
      <c r="K65" s="103">
        <f t="shared" si="3"/>
        <v>1.5724542481553198E-4</v>
      </c>
    </row>
    <row r="66" spans="2:11" ht="15" customHeight="1">
      <c r="B66" s="98" t="s">
        <v>1264</v>
      </c>
      <c r="C66" s="99" t="s">
        <v>1265</v>
      </c>
      <c r="D66" s="100">
        <v>58.557000000000002</v>
      </c>
      <c r="E66" s="100">
        <v>819.35</v>
      </c>
      <c r="F66" s="101">
        <f t="shared" si="0"/>
        <v>47978.677950000005</v>
      </c>
      <c r="G66" s="102" t="str">
        <f t="shared" si="1"/>
        <v/>
      </c>
      <c r="H66" s="102" t="s">
        <v>243</v>
      </c>
      <c r="I66" s="103" t="str">
        <f t="shared" si="2"/>
        <v/>
      </c>
      <c r="J66" s="103">
        <v>0.53174999999999994</v>
      </c>
      <c r="K66" s="103" t="str">
        <f t="shared" si="3"/>
        <v/>
      </c>
    </row>
    <row r="67" spans="2:11" ht="15" customHeight="1">
      <c r="B67" s="98" t="s">
        <v>328</v>
      </c>
      <c r="C67" s="99" t="s">
        <v>329</v>
      </c>
      <c r="D67" s="100">
        <v>257.34899999999999</v>
      </c>
      <c r="E67" s="100">
        <v>159.43</v>
      </c>
      <c r="F67" s="101">
        <f t="shared" si="0"/>
        <v>41029.15107</v>
      </c>
      <c r="G67" s="102" t="str">
        <f t="shared" si="1"/>
        <v/>
      </c>
      <c r="H67" s="102" t="s">
        <v>243</v>
      </c>
      <c r="I67" s="103" t="str">
        <f t="shared" si="2"/>
        <v/>
      </c>
      <c r="J67" s="103">
        <v>0.29920000000000002</v>
      </c>
      <c r="K67" s="103" t="str">
        <f t="shared" si="3"/>
        <v/>
      </c>
    </row>
    <row r="68" spans="2:11" ht="15" customHeight="1">
      <c r="B68" s="98" t="s">
        <v>330</v>
      </c>
      <c r="C68" s="99" t="s">
        <v>331</v>
      </c>
      <c r="D68" s="100">
        <v>308.10899999999998</v>
      </c>
      <c r="E68" s="100">
        <v>147.52000000000001</v>
      </c>
      <c r="F68" s="101">
        <f t="shared" si="0"/>
        <v>45452.239679999999</v>
      </c>
      <c r="G68" s="102">
        <f t="shared" si="1"/>
        <v>1.3033668425119431E-3</v>
      </c>
      <c r="H68" s="102">
        <v>1.1862798264642082E-2</v>
      </c>
      <c r="I68" s="103">
        <f t="shared" si="2"/>
        <v>1.5461577917542709E-5</v>
      </c>
      <c r="J68" s="103">
        <v>0.18</v>
      </c>
      <c r="K68" s="103">
        <f t="shared" si="3"/>
        <v>2.3460603165214973E-4</v>
      </c>
    </row>
    <row r="69" spans="2:11" ht="15" customHeight="1">
      <c r="B69" s="98" t="s">
        <v>332</v>
      </c>
      <c r="C69" s="99" t="s">
        <v>333</v>
      </c>
      <c r="D69" s="100">
        <v>494.43799999999999</v>
      </c>
      <c r="E69" s="100">
        <v>60.45</v>
      </c>
      <c r="F69" s="101">
        <f t="shared" si="0"/>
        <v>29888.777099999999</v>
      </c>
      <c r="G69" s="102" t="str">
        <f t="shared" si="1"/>
        <v/>
      </c>
      <c r="H69" s="102">
        <v>3.3085194375516956E-2</v>
      </c>
      <c r="I69" s="103" t="str">
        <f t="shared" si="2"/>
        <v/>
      </c>
      <c r="J69" s="103">
        <v>-2.8500000000000001E-2</v>
      </c>
      <c r="K69" s="103" t="str">
        <f t="shared" si="3"/>
        <v/>
      </c>
    </row>
    <row r="70" spans="2:11" ht="15" customHeight="1">
      <c r="B70" s="98" t="s">
        <v>334</v>
      </c>
      <c r="C70" s="99" t="s">
        <v>335</v>
      </c>
      <c r="D70" s="100">
        <v>409.291</v>
      </c>
      <c r="E70" s="100">
        <v>238.69</v>
      </c>
      <c r="F70" s="101">
        <f t="shared" si="0"/>
        <v>97693.668789999996</v>
      </c>
      <c r="G70" s="102">
        <f t="shared" si="1"/>
        <v>2.8014172573383265E-3</v>
      </c>
      <c r="H70" s="102">
        <v>2.3461393439188905E-2</v>
      </c>
      <c r="I70" s="103">
        <f t="shared" si="2"/>
        <v>6.5725152461747991E-5</v>
      </c>
      <c r="J70" s="103">
        <v>0.11310000000000001</v>
      </c>
      <c r="K70" s="103">
        <f t="shared" si="3"/>
        <v>3.1684029180496472E-4</v>
      </c>
    </row>
    <row r="71" spans="2:11" ht="15" customHeight="1">
      <c r="B71" s="98" t="s">
        <v>336</v>
      </c>
      <c r="C71" s="99" t="s">
        <v>337</v>
      </c>
      <c r="D71" s="100">
        <v>142.67500000000001</v>
      </c>
      <c r="E71" s="100">
        <v>269.55</v>
      </c>
      <c r="F71" s="101">
        <f t="shared" si="0"/>
        <v>38458.046250000007</v>
      </c>
      <c r="G71" s="102">
        <f t="shared" si="1"/>
        <v>1.1028046728376484E-3</v>
      </c>
      <c r="H71" s="102">
        <v>5.787423483583751E-3</v>
      </c>
      <c r="I71" s="103">
        <f t="shared" si="2"/>
        <v>6.3823976613865019E-6</v>
      </c>
      <c r="J71" s="103">
        <v>0.11710000000000001</v>
      </c>
      <c r="K71" s="103">
        <f t="shared" si="3"/>
        <v>1.2913842718928863E-4</v>
      </c>
    </row>
    <row r="72" spans="2:11" ht="15" customHeight="1">
      <c r="B72" s="98" t="s">
        <v>338</v>
      </c>
      <c r="C72" s="99" t="s">
        <v>339</v>
      </c>
      <c r="D72" s="100">
        <v>17.082999999999998</v>
      </c>
      <c r="E72" s="100">
        <v>2964.1</v>
      </c>
      <c r="F72" s="101">
        <f t="shared" si="0"/>
        <v>50635.720299999994</v>
      </c>
      <c r="G72" s="102">
        <f t="shared" si="1"/>
        <v>1.4520058714459565E-3</v>
      </c>
      <c r="H72" s="102" t="s">
        <v>243</v>
      </c>
      <c r="I72" s="103" t="str">
        <f t="shared" si="2"/>
        <v/>
      </c>
      <c r="J72" s="103">
        <v>0.14660000000000001</v>
      </c>
      <c r="K72" s="103">
        <f t="shared" si="3"/>
        <v>2.1286406075397723E-4</v>
      </c>
    </row>
    <row r="73" spans="2:11" ht="15" customHeight="1">
      <c r="B73" s="98" t="s">
        <v>763</v>
      </c>
      <c r="C73" s="99" t="s">
        <v>764</v>
      </c>
      <c r="D73" s="100">
        <v>480.67599999999999</v>
      </c>
      <c r="E73" s="100">
        <v>438.81</v>
      </c>
      <c r="F73" s="101">
        <f t="shared" si="0"/>
        <v>210925.43555999998</v>
      </c>
      <c r="G73" s="102">
        <f t="shared" si="1"/>
        <v>6.048397634237185E-3</v>
      </c>
      <c r="H73" s="102">
        <v>1.2670631936373373E-2</v>
      </c>
      <c r="I73" s="103">
        <f t="shared" si="2"/>
        <v>7.6637020228250829E-5</v>
      </c>
      <c r="J73" s="103">
        <v>0.1182</v>
      </c>
      <c r="K73" s="103">
        <f t="shared" si="3"/>
        <v>7.1492060036683531E-4</v>
      </c>
    </row>
    <row r="74" spans="2:11" ht="15" customHeight="1">
      <c r="B74" s="98" t="s">
        <v>340</v>
      </c>
      <c r="C74" s="99" t="s">
        <v>341</v>
      </c>
      <c r="D74" s="100">
        <v>80.552999999999997</v>
      </c>
      <c r="E74" s="100">
        <v>218.65</v>
      </c>
      <c r="F74" s="101">
        <f t="shared" si="0"/>
        <v>17612.91345</v>
      </c>
      <c r="G74" s="102">
        <f t="shared" si="1"/>
        <v>5.0505954277240653E-4</v>
      </c>
      <c r="H74" s="102">
        <v>1.6098788017379372E-2</v>
      </c>
      <c r="I74" s="103">
        <f t="shared" si="2"/>
        <v>8.1308465152475221E-6</v>
      </c>
      <c r="J74" s="103">
        <v>0.1167</v>
      </c>
      <c r="K74" s="103">
        <f t="shared" si="3"/>
        <v>5.8940448641539841E-5</v>
      </c>
    </row>
    <row r="75" spans="2:11" ht="15" customHeight="1">
      <c r="B75" s="98" t="s">
        <v>342</v>
      </c>
      <c r="C75" s="99" t="s">
        <v>343</v>
      </c>
      <c r="D75" s="100">
        <v>136.06299999999999</v>
      </c>
      <c r="E75" s="100">
        <v>99.71</v>
      </c>
      <c r="F75" s="101">
        <f t="shared" si="0"/>
        <v>13566.841729999998</v>
      </c>
      <c r="G75" s="102">
        <f t="shared" si="1"/>
        <v>3.8903631136729419E-4</v>
      </c>
      <c r="H75" s="102" t="s">
        <v>243</v>
      </c>
      <c r="I75" s="103" t="str">
        <f t="shared" si="2"/>
        <v/>
      </c>
      <c r="J75" s="103">
        <v>0.18170000000000003</v>
      </c>
      <c r="K75" s="103">
        <f t="shared" si="3"/>
        <v>7.0687897775437362E-5</v>
      </c>
    </row>
    <row r="76" spans="2:11" ht="15" customHeight="1">
      <c r="B76" s="98" t="s">
        <v>344</v>
      </c>
      <c r="C76" s="99" t="s">
        <v>345</v>
      </c>
      <c r="D76" s="100">
        <v>79.224000000000004</v>
      </c>
      <c r="E76" s="100">
        <v>481.75</v>
      </c>
      <c r="F76" s="101">
        <f t="shared" si="0"/>
        <v>38166.162000000004</v>
      </c>
      <c r="G76" s="102">
        <f t="shared" si="1"/>
        <v>1.0944347386830314E-3</v>
      </c>
      <c r="H76" s="102">
        <v>1.3284898806434874E-2</v>
      </c>
      <c r="I76" s="103">
        <f t="shared" si="2"/>
        <v>1.4539454753651068E-5</v>
      </c>
      <c r="J76" s="103">
        <v>0.1158</v>
      </c>
      <c r="K76" s="103">
        <f t="shared" si="3"/>
        <v>1.2673554273949503E-4</v>
      </c>
    </row>
    <row r="77" spans="2:11" ht="15" customHeight="1">
      <c r="B77" s="98" t="s">
        <v>346</v>
      </c>
      <c r="C77" s="99" t="s">
        <v>347</v>
      </c>
      <c r="D77" s="100">
        <v>310.37799999999999</v>
      </c>
      <c r="E77" s="100">
        <v>60.02</v>
      </c>
      <c r="F77" s="101">
        <f t="shared" si="0"/>
        <v>18628.887559999999</v>
      </c>
      <c r="G77" s="102">
        <f t="shared" si="1"/>
        <v>5.3419313392539104E-4</v>
      </c>
      <c r="H77" s="102">
        <v>1.3328890369876709E-2</v>
      </c>
      <c r="I77" s="103">
        <f t="shared" si="2"/>
        <v>7.1202017184324032E-6</v>
      </c>
      <c r="J77" s="103">
        <v>0.12890000000000001</v>
      </c>
      <c r="K77" s="103">
        <f t="shared" si="3"/>
        <v>6.8857494962982907E-5</v>
      </c>
    </row>
    <row r="78" spans="2:11" ht="15" customHeight="1">
      <c r="B78" s="98" t="s">
        <v>1189</v>
      </c>
      <c r="C78" s="99" t="s">
        <v>1190</v>
      </c>
      <c r="D78" s="100">
        <v>75.466999999999999</v>
      </c>
      <c r="E78" s="100">
        <v>294.24</v>
      </c>
      <c r="F78" s="101">
        <f t="shared" si="0"/>
        <v>22205.410080000001</v>
      </c>
      <c r="G78" s="102" t="str">
        <f t="shared" si="1"/>
        <v/>
      </c>
      <c r="H78" s="102" t="s">
        <v>243</v>
      </c>
      <c r="I78" s="103" t="str">
        <f t="shared" si="2"/>
        <v/>
      </c>
      <c r="J78" s="103" t="s">
        <v>243</v>
      </c>
      <c r="K78" s="103" t="str">
        <f t="shared" si="3"/>
        <v/>
      </c>
    </row>
    <row r="79" spans="2:11" ht="15" customHeight="1">
      <c r="B79" s="98" t="s">
        <v>1266</v>
      </c>
      <c r="C79" s="99" t="s">
        <v>1267</v>
      </c>
      <c r="D79" s="100">
        <v>155.56200000000001</v>
      </c>
      <c r="E79" s="100">
        <v>49.6</v>
      </c>
      <c r="F79" s="101">
        <f t="shared" si="0"/>
        <v>7715.8752000000004</v>
      </c>
      <c r="G79" s="102" t="str">
        <f t="shared" si="1"/>
        <v/>
      </c>
      <c r="H79" s="102" t="s">
        <v>243</v>
      </c>
      <c r="I79" s="103" t="str">
        <f t="shared" si="2"/>
        <v/>
      </c>
      <c r="J79" s="103" t="s">
        <v>243</v>
      </c>
      <c r="K79" s="103" t="str">
        <f t="shared" si="3"/>
        <v/>
      </c>
    </row>
    <row r="80" spans="2:11" ht="15" customHeight="1">
      <c r="B80" s="98" t="s">
        <v>348</v>
      </c>
      <c r="C80" s="99" t="s">
        <v>349</v>
      </c>
      <c r="D80" s="100">
        <v>901.01199999999994</v>
      </c>
      <c r="E80" s="100">
        <v>63.08</v>
      </c>
      <c r="F80" s="101">
        <f t="shared" ref="F80:F143" si="4">D80*E80</f>
        <v>56835.836959999993</v>
      </c>
      <c r="G80" s="102">
        <f t="shared" ref="G80:G143" si="5">IF(AND(ISNUMBER($J80)), IF(AND($J80&lt;=20%,$J80&gt;0%), $F80/SUMIFS($F$15:$F$517,$J$15:$J$517, "&gt;"&amp;0%,$J$15:$J$517, "&lt;="&amp;20%),""),"")</f>
        <v>1.6297974727233239E-3</v>
      </c>
      <c r="H80" s="102">
        <v>1.2048192771084338E-2</v>
      </c>
      <c r="I80" s="103">
        <f t="shared" ref="I80:I143" si="6">IFERROR(G80*H80,"")</f>
        <v>1.9636114129196673E-5</v>
      </c>
      <c r="J80" s="103">
        <v>7.8700000000000006E-2</v>
      </c>
      <c r="K80" s="103">
        <f t="shared" ref="K80:K143" si="7">IFERROR(G80*J80,"")</f>
        <v>1.282650611033256E-4</v>
      </c>
    </row>
    <row r="81" spans="2:11" ht="15" customHeight="1">
      <c r="B81" s="98" t="s">
        <v>350</v>
      </c>
      <c r="C81" s="99" t="s">
        <v>351</v>
      </c>
      <c r="D81" s="100">
        <v>747.81600000000003</v>
      </c>
      <c r="E81" s="100">
        <v>59.89</v>
      </c>
      <c r="F81" s="101">
        <f t="shared" si="4"/>
        <v>44786.700240000006</v>
      </c>
      <c r="G81" s="102">
        <f t="shared" si="5"/>
        <v>1.2842821495554009E-3</v>
      </c>
      <c r="H81" s="102">
        <v>2.8051427617298379E-2</v>
      </c>
      <c r="I81" s="103">
        <f t="shared" si="6"/>
        <v>3.6025947758441702E-5</v>
      </c>
      <c r="J81" s="103">
        <v>0.10005000000000001</v>
      </c>
      <c r="K81" s="103">
        <f t="shared" si="7"/>
        <v>1.2849242906301788E-4</v>
      </c>
    </row>
    <row r="82" spans="2:11" ht="15" customHeight="1">
      <c r="B82" s="98" t="s">
        <v>352</v>
      </c>
      <c r="C82" s="99" t="s">
        <v>353</v>
      </c>
      <c r="D82" s="100">
        <v>404.32299999999998</v>
      </c>
      <c r="E82" s="100">
        <v>96.26</v>
      </c>
      <c r="F82" s="101">
        <f t="shared" si="4"/>
        <v>38920.131979999998</v>
      </c>
      <c r="G82" s="102">
        <f t="shared" si="5"/>
        <v>1.1160552238142359E-3</v>
      </c>
      <c r="H82" s="102">
        <v>1.6206108456264284E-2</v>
      </c>
      <c r="I82" s="103">
        <f t="shared" si="6"/>
        <v>1.8086912000313816E-5</v>
      </c>
      <c r="J82" s="103">
        <v>0.09</v>
      </c>
      <c r="K82" s="103">
        <f t="shared" si="7"/>
        <v>1.0044497014328124E-4</v>
      </c>
    </row>
    <row r="83" spans="2:11" ht="15" customHeight="1">
      <c r="B83" s="98" t="s">
        <v>354</v>
      </c>
      <c r="C83" s="99" t="s">
        <v>355</v>
      </c>
      <c r="D83" s="100">
        <v>509.58</v>
      </c>
      <c r="E83" s="100">
        <v>33.450000000000003</v>
      </c>
      <c r="F83" s="101">
        <f t="shared" si="4"/>
        <v>17045.451000000001</v>
      </c>
      <c r="G83" s="102">
        <f t="shared" si="5"/>
        <v>4.887872590102042E-4</v>
      </c>
      <c r="H83" s="102">
        <v>3.4678624813153959E-2</v>
      </c>
      <c r="I83" s="103">
        <f t="shared" si="6"/>
        <v>1.6950469968664779E-5</v>
      </c>
      <c r="J83" s="103">
        <v>9.7799999999999998E-2</v>
      </c>
      <c r="K83" s="103">
        <f t="shared" si="7"/>
        <v>4.7803393931197967E-5</v>
      </c>
    </row>
    <row r="84" spans="2:11" ht="15" customHeight="1">
      <c r="B84" s="98" t="s">
        <v>1191</v>
      </c>
      <c r="C84" s="99" t="s">
        <v>356</v>
      </c>
      <c r="D84" s="100">
        <v>289.00599999999997</v>
      </c>
      <c r="E84" s="100">
        <v>233.71</v>
      </c>
      <c r="F84" s="101">
        <f t="shared" si="4"/>
        <v>67543.59225999999</v>
      </c>
      <c r="G84" s="102">
        <f t="shared" si="5"/>
        <v>1.936847979233183E-3</v>
      </c>
      <c r="H84" s="102">
        <v>1.6259466860639251E-2</v>
      </c>
      <c r="I84" s="103">
        <f t="shared" si="6"/>
        <v>3.1492115532438037E-5</v>
      </c>
      <c r="J84" s="103">
        <v>7.7649999999999997E-2</v>
      </c>
      <c r="K84" s="103">
        <f t="shared" si="7"/>
        <v>1.5039624558745666E-4</v>
      </c>
    </row>
    <row r="85" spans="2:11" ht="15" customHeight="1">
      <c r="B85" s="98" t="s">
        <v>357</v>
      </c>
      <c r="C85" s="99" t="s">
        <v>358</v>
      </c>
      <c r="D85" s="100">
        <v>1311.385</v>
      </c>
      <c r="E85" s="100">
        <v>406.8</v>
      </c>
      <c r="F85" s="101">
        <f t="shared" si="4"/>
        <v>533471.41800000006</v>
      </c>
      <c r="G85" s="102" t="str">
        <f t="shared" si="5"/>
        <v/>
      </c>
      <c r="H85" s="102" t="s">
        <v>243</v>
      </c>
      <c r="I85" s="103" t="str">
        <f t="shared" si="6"/>
        <v/>
      </c>
      <c r="J85" s="103" t="s">
        <v>243</v>
      </c>
      <c r="K85" s="103" t="str">
        <f t="shared" si="7"/>
        <v/>
      </c>
    </row>
    <row r="86" spans="2:11" ht="15" customHeight="1">
      <c r="B86" s="98" t="s">
        <v>359</v>
      </c>
      <c r="C86" s="99" t="s">
        <v>360</v>
      </c>
      <c r="D86" s="100">
        <v>215.714</v>
      </c>
      <c r="E86" s="100">
        <v>84.29</v>
      </c>
      <c r="F86" s="101">
        <f t="shared" si="4"/>
        <v>18182.533060000002</v>
      </c>
      <c r="G86" s="102" t="str">
        <f t="shared" si="5"/>
        <v/>
      </c>
      <c r="H86" s="102">
        <v>4.4607901293154582E-2</v>
      </c>
      <c r="I86" s="103" t="str">
        <f t="shared" si="6"/>
        <v/>
      </c>
      <c r="J86" s="103">
        <v>-4.2500000000000003E-3</v>
      </c>
      <c r="K86" s="103" t="str">
        <f t="shared" si="7"/>
        <v/>
      </c>
    </row>
    <row r="87" spans="2:11" ht="15" customHeight="1">
      <c r="B87" s="98" t="s">
        <v>361</v>
      </c>
      <c r="C87" s="99" t="s">
        <v>362</v>
      </c>
      <c r="D87" s="100">
        <v>1470.18</v>
      </c>
      <c r="E87" s="100">
        <v>77.010000000000005</v>
      </c>
      <c r="F87" s="101">
        <f t="shared" si="4"/>
        <v>113218.56180000001</v>
      </c>
      <c r="G87" s="102">
        <f t="shared" si="5"/>
        <v>3.2466017174493898E-3</v>
      </c>
      <c r="H87" s="102" t="s">
        <v>243</v>
      </c>
      <c r="I87" s="103" t="str">
        <f t="shared" si="6"/>
        <v/>
      </c>
      <c r="J87" s="103">
        <v>0.12075</v>
      </c>
      <c r="K87" s="103">
        <f t="shared" si="7"/>
        <v>3.9202715738201381E-4</v>
      </c>
    </row>
    <row r="88" spans="2:11" ht="15" customHeight="1">
      <c r="B88" s="98" t="s">
        <v>363</v>
      </c>
      <c r="C88" s="99" t="s">
        <v>364</v>
      </c>
      <c r="D88" s="100">
        <v>2027.1</v>
      </c>
      <c r="E88" s="100">
        <v>41.53</v>
      </c>
      <c r="F88" s="101">
        <f t="shared" si="4"/>
        <v>84185.463000000003</v>
      </c>
      <c r="G88" s="102" t="str">
        <f t="shared" si="5"/>
        <v/>
      </c>
      <c r="H88" s="102">
        <v>5.7789549723091735E-2</v>
      </c>
      <c r="I88" s="103" t="str">
        <f t="shared" si="6"/>
        <v/>
      </c>
      <c r="J88" s="103">
        <v>-4.1200000000000001E-2</v>
      </c>
      <c r="K88" s="103" t="str">
        <f t="shared" si="7"/>
        <v/>
      </c>
    </row>
    <row r="89" spans="2:11" ht="15" customHeight="1">
      <c r="B89" s="98" t="s">
        <v>365</v>
      </c>
      <c r="C89" s="99" t="s">
        <v>366</v>
      </c>
      <c r="D89" s="100">
        <v>305.53699999999998</v>
      </c>
      <c r="E89" s="100">
        <v>43.19</v>
      </c>
      <c r="F89" s="101">
        <f t="shared" si="4"/>
        <v>13196.143029999997</v>
      </c>
      <c r="G89" s="102" t="str">
        <f t="shared" si="5"/>
        <v/>
      </c>
      <c r="H89" s="102">
        <v>2.0171335957397545E-2</v>
      </c>
      <c r="I89" s="103" t="str">
        <f t="shared" si="6"/>
        <v/>
      </c>
      <c r="J89" s="103">
        <v>-1.26E-2</v>
      </c>
      <c r="K89" s="103" t="str">
        <f t="shared" si="7"/>
        <v/>
      </c>
    </row>
    <row r="90" spans="2:11" ht="15" customHeight="1">
      <c r="B90" s="98" t="s">
        <v>367</v>
      </c>
      <c r="C90" s="99" t="s">
        <v>368</v>
      </c>
      <c r="D90" s="100">
        <v>744.23299999999995</v>
      </c>
      <c r="E90" s="100">
        <v>26.67</v>
      </c>
      <c r="F90" s="101">
        <f t="shared" si="4"/>
        <v>19848.69411</v>
      </c>
      <c r="G90" s="102">
        <f t="shared" si="5"/>
        <v>5.6917172733997388E-4</v>
      </c>
      <c r="H90" s="102">
        <v>3.1496062992125984E-2</v>
      </c>
      <c r="I90" s="103">
        <f t="shared" si="6"/>
        <v>1.7926668577636973E-5</v>
      </c>
      <c r="J90" s="103">
        <v>0.1079</v>
      </c>
      <c r="K90" s="103">
        <f t="shared" si="7"/>
        <v>6.1413629379983178E-5</v>
      </c>
    </row>
    <row r="91" spans="2:11" ht="15" customHeight="1">
      <c r="B91" s="98" t="s">
        <v>369</v>
      </c>
      <c r="C91" s="99" t="s">
        <v>370</v>
      </c>
      <c r="D91" s="100">
        <v>298.55399999999997</v>
      </c>
      <c r="E91" s="100">
        <v>45.19</v>
      </c>
      <c r="F91" s="101">
        <f t="shared" si="4"/>
        <v>13491.655259999998</v>
      </c>
      <c r="G91" s="102">
        <f t="shared" si="5"/>
        <v>3.8688029985513457E-4</v>
      </c>
      <c r="H91" s="102">
        <v>3.2750608541712772E-2</v>
      </c>
      <c r="I91" s="103">
        <f t="shared" si="6"/>
        <v>1.267056525305597E-5</v>
      </c>
      <c r="J91" s="103">
        <v>8.1349999999999992E-2</v>
      </c>
      <c r="K91" s="103">
        <f t="shared" si="7"/>
        <v>3.1472712393215192E-5</v>
      </c>
    </row>
    <row r="92" spans="2:11" ht="15" customHeight="1">
      <c r="B92" s="98" t="s">
        <v>371</v>
      </c>
      <c r="C92" s="99" t="s">
        <v>372</v>
      </c>
      <c r="D92" s="100">
        <v>250.04599999999999</v>
      </c>
      <c r="E92" s="100">
        <v>218.2</v>
      </c>
      <c r="F92" s="101">
        <f t="shared" si="4"/>
        <v>54560.037199999999</v>
      </c>
      <c r="G92" s="102">
        <f t="shared" si="5"/>
        <v>1.5645377194468352E-3</v>
      </c>
      <c r="H92" s="102">
        <v>2.7497708524289641E-3</v>
      </c>
      <c r="I92" s="103">
        <f t="shared" si="6"/>
        <v>4.3021202184605912E-6</v>
      </c>
      <c r="J92" s="103">
        <v>0.1552</v>
      </c>
      <c r="K92" s="103">
        <f t="shared" si="7"/>
        <v>2.4281625405814881E-4</v>
      </c>
    </row>
    <row r="93" spans="2:11" ht="15" customHeight="1">
      <c r="B93" s="98" t="s">
        <v>373</v>
      </c>
      <c r="C93" s="99" t="s">
        <v>374</v>
      </c>
      <c r="D93" s="100">
        <v>1122.32</v>
      </c>
      <c r="E93" s="100">
        <v>18.72</v>
      </c>
      <c r="F93" s="101">
        <f t="shared" si="4"/>
        <v>21009.830399999999</v>
      </c>
      <c r="G93" s="102" t="str">
        <f t="shared" si="5"/>
        <v/>
      </c>
      <c r="H93" s="102" t="s">
        <v>243</v>
      </c>
      <c r="I93" s="103" t="str">
        <f t="shared" si="6"/>
        <v/>
      </c>
      <c r="J93" s="103" t="s">
        <v>243</v>
      </c>
      <c r="K93" s="103" t="str">
        <f t="shared" si="7"/>
        <v/>
      </c>
    </row>
    <row r="94" spans="2:11" ht="15" customHeight="1">
      <c r="B94" s="98" t="s">
        <v>375</v>
      </c>
      <c r="C94" s="99" t="s">
        <v>376</v>
      </c>
      <c r="D94" s="100">
        <v>95.629000000000005</v>
      </c>
      <c r="E94" s="100">
        <v>116.04</v>
      </c>
      <c r="F94" s="101">
        <f t="shared" si="4"/>
        <v>11096.78916</v>
      </c>
      <c r="G94" s="102" t="str">
        <f t="shared" si="5"/>
        <v/>
      </c>
      <c r="H94" s="102" t="s">
        <v>243</v>
      </c>
      <c r="I94" s="103" t="str">
        <f t="shared" si="6"/>
        <v/>
      </c>
      <c r="J94" s="103">
        <v>0.20039999999999999</v>
      </c>
      <c r="K94" s="103" t="str">
        <f t="shared" si="7"/>
        <v/>
      </c>
    </row>
    <row r="95" spans="2:11" ht="15" customHeight="1">
      <c r="B95" s="98" t="s">
        <v>1268</v>
      </c>
      <c r="C95" s="99" t="s">
        <v>1269</v>
      </c>
      <c r="D95" s="100">
        <v>122.057</v>
      </c>
      <c r="E95" s="100">
        <v>138.41</v>
      </c>
      <c r="F95" s="101">
        <f t="shared" si="4"/>
        <v>16893.909370000001</v>
      </c>
      <c r="G95" s="102">
        <f t="shared" si="5"/>
        <v>4.84441723186386E-4</v>
      </c>
      <c r="H95" s="102" t="s">
        <v>243</v>
      </c>
      <c r="I95" s="103" t="str">
        <f t="shared" si="6"/>
        <v/>
      </c>
      <c r="J95" s="103">
        <v>4.8099999999999997E-2</v>
      </c>
      <c r="K95" s="103">
        <f t="shared" si="7"/>
        <v>2.3301646885265165E-5</v>
      </c>
    </row>
    <row r="96" spans="2:11" ht="15" customHeight="1">
      <c r="B96" s="98" t="s">
        <v>377</v>
      </c>
      <c r="C96" s="99" t="s">
        <v>378</v>
      </c>
      <c r="D96" s="100">
        <v>329.30700000000002</v>
      </c>
      <c r="E96" s="100">
        <v>41.15</v>
      </c>
      <c r="F96" s="101">
        <f t="shared" si="4"/>
        <v>13550.983050000001</v>
      </c>
      <c r="G96" s="102">
        <f t="shared" si="5"/>
        <v>3.8858155538995347E-4</v>
      </c>
      <c r="H96" s="102">
        <v>4.1312272174969626E-2</v>
      </c>
      <c r="I96" s="103">
        <f t="shared" si="6"/>
        <v>1.6053186978442793E-5</v>
      </c>
      <c r="J96" s="103">
        <v>1.8500000000000003E-2</v>
      </c>
      <c r="K96" s="103">
        <f t="shared" si="7"/>
        <v>7.1887587747141405E-6</v>
      </c>
    </row>
    <row r="97" spans="2:11" ht="15" customHeight="1">
      <c r="B97" s="98" t="s">
        <v>379</v>
      </c>
      <c r="C97" s="99" t="s">
        <v>380</v>
      </c>
      <c r="D97" s="100">
        <v>124.188</v>
      </c>
      <c r="E97" s="100">
        <v>136.47</v>
      </c>
      <c r="F97" s="101">
        <f t="shared" si="4"/>
        <v>16947.93636</v>
      </c>
      <c r="G97" s="102">
        <f t="shared" si="5"/>
        <v>4.8599097549743787E-4</v>
      </c>
      <c r="H97" s="102">
        <v>3.5172565398988789E-2</v>
      </c>
      <c r="I97" s="103">
        <f t="shared" si="6"/>
        <v>1.7093549369001991E-5</v>
      </c>
      <c r="J97" s="103">
        <v>0.15460000000000002</v>
      </c>
      <c r="K97" s="103">
        <f t="shared" si="7"/>
        <v>7.5134204811903903E-5</v>
      </c>
    </row>
    <row r="98" spans="2:11" ht="15" customHeight="1">
      <c r="B98" s="98" t="s">
        <v>381</v>
      </c>
      <c r="C98" s="99" t="s">
        <v>382</v>
      </c>
      <c r="D98" s="100">
        <v>58.11</v>
      </c>
      <c r="E98" s="100">
        <v>143.04</v>
      </c>
      <c r="F98" s="101">
        <f t="shared" si="4"/>
        <v>8312.0543999999991</v>
      </c>
      <c r="G98" s="102">
        <f t="shared" si="5"/>
        <v>2.383525250766147E-4</v>
      </c>
      <c r="H98" s="102">
        <v>1.0486577181208054E-2</v>
      </c>
      <c r="I98" s="103">
        <f t="shared" si="6"/>
        <v>2.4995021505517483E-6</v>
      </c>
      <c r="J98" s="103">
        <v>0.06</v>
      </c>
      <c r="K98" s="103">
        <f t="shared" si="7"/>
        <v>1.4301151504596882E-5</v>
      </c>
    </row>
    <row r="99" spans="2:11" ht="15" customHeight="1">
      <c r="B99" s="98" t="s">
        <v>383</v>
      </c>
      <c r="C99" s="99" t="s">
        <v>384</v>
      </c>
      <c r="D99" s="100">
        <v>298.63499999999999</v>
      </c>
      <c r="E99" s="100">
        <v>59.53</v>
      </c>
      <c r="F99" s="101">
        <f t="shared" si="4"/>
        <v>17777.741549999999</v>
      </c>
      <c r="G99" s="102">
        <f t="shared" si="5"/>
        <v>5.0978607510099435E-4</v>
      </c>
      <c r="H99" s="102">
        <v>3.4604401142281201E-2</v>
      </c>
      <c r="I99" s="103">
        <f t="shared" si="6"/>
        <v>1.76408418395439E-5</v>
      </c>
      <c r="J99" s="103">
        <v>7.7530000000000002E-2</v>
      </c>
      <c r="K99" s="103">
        <f t="shared" si="7"/>
        <v>3.952371440258009E-5</v>
      </c>
    </row>
    <row r="100" spans="2:11" ht="15" customHeight="1">
      <c r="B100" s="98" t="s">
        <v>385</v>
      </c>
      <c r="C100" s="99" t="s">
        <v>386</v>
      </c>
      <c r="D100" s="100">
        <v>820.44100000000003</v>
      </c>
      <c r="E100" s="100">
        <v>97.04</v>
      </c>
      <c r="F100" s="101">
        <f t="shared" si="4"/>
        <v>79615.59464000001</v>
      </c>
      <c r="G100" s="102">
        <f t="shared" si="5"/>
        <v>2.2830189872097319E-3</v>
      </c>
      <c r="H100" s="102">
        <v>2.0610057708161583E-2</v>
      </c>
      <c r="I100" s="103">
        <f t="shared" si="6"/>
        <v>4.7053153075221185E-5</v>
      </c>
      <c r="J100" s="103">
        <v>8.3599999999999994E-2</v>
      </c>
      <c r="K100" s="103">
        <f t="shared" si="7"/>
        <v>1.9086038733073357E-4</v>
      </c>
    </row>
    <row r="101" spans="2:11" ht="15" customHeight="1">
      <c r="B101" s="98" t="s">
        <v>387</v>
      </c>
      <c r="C101" s="99" t="s">
        <v>388</v>
      </c>
      <c r="D101" s="100">
        <v>57.973999999999997</v>
      </c>
      <c r="E101" s="100">
        <v>188.11</v>
      </c>
      <c r="F101" s="101">
        <f t="shared" si="4"/>
        <v>10905.48914</v>
      </c>
      <c r="G101" s="102">
        <f t="shared" si="5"/>
        <v>3.1272062821371808E-4</v>
      </c>
      <c r="H101" s="102" t="s">
        <v>243</v>
      </c>
      <c r="I101" s="103" t="str">
        <f t="shared" si="6"/>
        <v/>
      </c>
      <c r="J101" s="103">
        <v>5.5399999999999998E-2</v>
      </c>
      <c r="K101" s="103">
        <f t="shared" si="7"/>
        <v>1.7324722803039981E-5</v>
      </c>
    </row>
    <row r="102" spans="2:11" ht="15" customHeight="1">
      <c r="B102" s="98" t="s">
        <v>389</v>
      </c>
      <c r="C102" s="99" t="s">
        <v>390</v>
      </c>
      <c r="D102" s="100">
        <v>478.06299999999999</v>
      </c>
      <c r="E102" s="100">
        <v>28.42</v>
      </c>
      <c r="F102" s="101">
        <f t="shared" si="4"/>
        <v>13586.55046</v>
      </c>
      <c r="G102" s="102">
        <f t="shared" si="5"/>
        <v>3.8960146955027648E-4</v>
      </c>
      <c r="H102" s="102">
        <v>4.926108374384236E-2</v>
      </c>
      <c r="I102" s="103">
        <f t="shared" si="6"/>
        <v>1.9192190618240219E-5</v>
      </c>
      <c r="J102" s="103">
        <v>1.575E-2</v>
      </c>
      <c r="K102" s="103">
        <f t="shared" si="7"/>
        <v>6.1362231454168548E-6</v>
      </c>
    </row>
    <row r="103" spans="2:11" ht="15" customHeight="1">
      <c r="B103" s="98" t="s">
        <v>1240</v>
      </c>
      <c r="C103" s="99" t="s">
        <v>1241</v>
      </c>
      <c r="D103" s="100">
        <v>441.5</v>
      </c>
      <c r="E103" s="100">
        <v>151.63</v>
      </c>
      <c r="F103" s="101">
        <f t="shared" si="4"/>
        <v>66944.645000000004</v>
      </c>
      <c r="G103" s="102" t="str">
        <f t="shared" si="5"/>
        <v/>
      </c>
      <c r="H103" s="102" t="s">
        <v>243</v>
      </c>
      <c r="I103" s="103" t="str">
        <f t="shared" si="6"/>
        <v/>
      </c>
      <c r="J103" s="103">
        <v>0.20219999999999999</v>
      </c>
      <c r="K103" s="103" t="str">
        <f t="shared" si="7"/>
        <v/>
      </c>
    </row>
    <row r="104" spans="2:11" ht="15" customHeight="1">
      <c r="B104" s="98" t="s">
        <v>391</v>
      </c>
      <c r="C104" s="99" t="s">
        <v>392</v>
      </c>
      <c r="D104" s="100">
        <v>344.92399999999998</v>
      </c>
      <c r="E104" s="100">
        <v>89.42</v>
      </c>
      <c r="F104" s="101">
        <f t="shared" si="4"/>
        <v>30843.104079999997</v>
      </c>
      <c r="G104" s="102">
        <f t="shared" si="5"/>
        <v>8.844422070515849E-4</v>
      </c>
      <c r="H104" s="102">
        <v>3.7128159248490271E-2</v>
      </c>
      <c r="I104" s="103">
        <f t="shared" si="6"/>
        <v>3.2837711109497449E-5</v>
      </c>
      <c r="J104" s="103">
        <v>5.7000000000000002E-2</v>
      </c>
      <c r="K104" s="103">
        <f t="shared" si="7"/>
        <v>5.0413205801940343E-5</v>
      </c>
    </row>
    <row r="105" spans="2:11" ht="15" customHeight="1">
      <c r="B105" s="98" t="s">
        <v>393</v>
      </c>
      <c r="C105" s="99" t="s">
        <v>394</v>
      </c>
      <c r="D105" s="100">
        <v>856.61900000000003</v>
      </c>
      <c r="E105" s="100">
        <v>38.85</v>
      </c>
      <c r="F105" s="101">
        <f t="shared" si="4"/>
        <v>33279.648150000001</v>
      </c>
      <c r="G105" s="102">
        <f t="shared" si="5"/>
        <v>9.5431138783376955E-4</v>
      </c>
      <c r="H105" s="102">
        <v>2.8828828828828829E-2</v>
      </c>
      <c r="I105" s="103">
        <f t="shared" si="6"/>
        <v>2.7511679649261825E-5</v>
      </c>
      <c r="J105" s="103">
        <v>0.12029999999999999</v>
      </c>
      <c r="K105" s="103">
        <f t="shared" si="7"/>
        <v>1.1480365995640247E-4</v>
      </c>
    </row>
    <row r="106" spans="2:11" ht="15" customHeight="1">
      <c r="B106" s="98" t="s">
        <v>1286</v>
      </c>
      <c r="C106" s="99" t="s">
        <v>1287</v>
      </c>
      <c r="D106" s="100">
        <v>140.941</v>
      </c>
      <c r="E106" s="100">
        <v>139.71</v>
      </c>
      <c r="F106" s="101">
        <f t="shared" si="4"/>
        <v>19690.867110000003</v>
      </c>
      <c r="G106" s="102" t="str">
        <f t="shared" si="5"/>
        <v/>
      </c>
      <c r="H106" s="102" t="s">
        <v>243</v>
      </c>
      <c r="I106" s="103" t="str">
        <f t="shared" si="6"/>
        <v/>
      </c>
      <c r="J106" s="103" t="s">
        <v>243</v>
      </c>
      <c r="K106" s="103" t="str">
        <f t="shared" si="7"/>
        <v/>
      </c>
    </row>
    <row r="107" spans="2:11" ht="15" customHeight="1">
      <c r="B107" s="98" t="s">
        <v>395</v>
      </c>
      <c r="C107" s="99" t="s">
        <v>396</v>
      </c>
      <c r="D107" s="100">
        <v>136.78</v>
      </c>
      <c r="E107" s="100">
        <v>276.93</v>
      </c>
      <c r="F107" s="101">
        <f t="shared" si="4"/>
        <v>37878.485399999998</v>
      </c>
      <c r="G107" s="102">
        <f t="shared" si="5"/>
        <v>1.0861854611018528E-3</v>
      </c>
      <c r="H107" s="102">
        <v>2.4266060015166287E-2</v>
      </c>
      <c r="I107" s="103">
        <f t="shared" si="6"/>
        <v>2.6357441586698626E-5</v>
      </c>
      <c r="J107" s="103">
        <v>7.5600000000000001E-2</v>
      </c>
      <c r="K107" s="103">
        <f t="shared" si="7"/>
        <v>8.211562085930007E-5</v>
      </c>
    </row>
    <row r="108" spans="2:11" ht="15" customHeight="1">
      <c r="B108" s="98" t="s">
        <v>397</v>
      </c>
      <c r="C108" s="99" t="s">
        <v>398</v>
      </c>
      <c r="D108" s="100">
        <v>216.416</v>
      </c>
      <c r="E108" s="100">
        <v>39.74</v>
      </c>
      <c r="F108" s="101">
        <f t="shared" si="4"/>
        <v>8600.3718399999998</v>
      </c>
      <c r="G108" s="102" t="str">
        <f t="shared" si="5"/>
        <v/>
      </c>
      <c r="H108" s="102" t="s">
        <v>243</v>
      </c>
      <c r="I108" s="103" t="str">
        <f t="shared" si="6"/>
        <v/>
      </c>
      <c r="J108" s="103">
        <v>-0.32439999999999997</v>
      </c>
      <c r="K108" s="103" t="str">
        <f t="shared" si="7"/>
        <v/>
      </c>
    </row>
    <row r="109" spans="2:11" ht="15" customHeight="1">
      <c r="B109" s="98" t="s">
        <v>399</v>
      </c>
      <c r="C109" s="99" t="s">
        <v>400</v>
      </c>
      <c r="D109" s="100">
        <v>740.68700000000001</v>
      </c>
      <c r="E109" s="100">
        <v>249.85</v>
      </c>
      <c r="F109" s="101">
        <f t="shared" si="4"/>
        <v>185060.64694999999</v>
      </c>
      <c r="G109" s="102">
        <f t="shared" si="5"/>
        <v>5.3067112376988801E-3</v>
      </c>
      <c r="H109" s="102">
        <v>4.3225935561336803E-3</v>
      </c>
      <c r="I109" s="103">
        <f t="shared" si="6"/>
        <v>2.2938755800339367E-5</v>
      </c>
      <c r="J109" s="103">
        <v>3.8399999999999997E-2</v>
      </c>
      <c r="K109" s="103">
        <f t="shared" si="7"/>
        <v>2.0377771152763698E-4</v>
      </c>
    </row>
    <row r="110" spans="2:11" ht="15" customHeight="1">
      <c r="B110" s="98" t="s">
        <v>401</v>
      </c>
      <c r="C110" s="99" t="s">
        <v>402</v>
      </c>
      <c r="D110" s="100">
        <v>462.637</v>
      </c>
      <c r="E110" s="100">
        <v>148.04</v>
      </c>
      <c r="F110" s="101">
        <f t="shared" si="4"/>
        <v>68488.781479999991</v>
      </c>
      <c r="G110" s="102">
        <f t="shared" si="5"/>
        <v>1.9639517764920406E-3</v>
      </c>
      <c r="H110" s="102">
        <v>3.0262091326668471E-2</v>
      </c>
      <c r="I110" s="103">
        <f t="shared" si="6"/>
        <v>5.9433288021374917E-5</v>
      </c>
      <c r="J110" s="103">
        <v>0.13965</v>
      </c>
      <c r="K110" s="103">
        <f t="shared" si="7"/>
        <v>2.7426586558711348E-4</v>
      </c>
    </row>
    <row r="111" spans="2:11" ht="15" customHeight="1">
      <c r="B111" s="98" t="s">
        <v>403</v>
      </c>
      <c r="C111" s="99" t="s">
        <v>404</v>
      </c>
      <c r="D111" s="100">
        <v>275.57</v>
      </c>
      <c r="E111" s="100">
        <v>373.63</v>
      </c>
      <c r="F111" s="101">
        <f t="shared" si="4"/>
        <v>102961.2191</v>
      </c>
      <c r="G111" s="102" t="str">
        <f t="shared" si="5"/>
        <v/>
      </c>
      <c r="H111" s="102">
        <v>1.5737494312555202E-2</v>
      </c>
      <c r="I111" s="103" t="str">
        <f t="shared" si="6"/>
        <v/>
      </c>
      <c r="J111" s="103">
        <v>-6.8400000000000002E-2</v>
      </c>
      <c r="K111" s="103" t="str">
        <f t="shared" si="7"/>
        <v/>
      </c>
    </row>
    <row r="112" spans="2:11" ht="15" customHeight="1">
      <c r="B112" s="98" t="s">
        <v>405</v>
      </c>
      <c r="C112" s="99" t="s">
        <v>406</v>
      </c>
      <c r="D112" s="100">
        <v>837.59299999999996</v>
      </c>
      <c r="E112" s="100">
        <v>49</v>
      </c>
      <c r="F112" s="101">
        <f t="shared" si="4"/>
        <v>41042.057000000001</v>
      </c>
      <c r="G112" s="102">
        <f t="shared" si="5"/>
        <v>1.1769025381124011E-3</v>
      </c>
      <c r="H112" s="102">
        <v>5.4489795918367348E-2</v>
      </c>
      <c r="I112" s="103">
        <f t="shared" si="6"/>
        <v>6.4129179117553277E-5</v>
      </c>
      <c r="J112" s="103">
        <v>0.11585000000000001</v>
      </c>
      <c r="K112" s="103">
        <f t="shared" si="7"/>
        <v>1.3634415904032168E-4</v>
      </c>
    </row>
    <row r="113" spans="2:11" ht="15" customHeight="1">
      <c r="B113" s="98" t="s">
        <v>407</v>
      </c>
      <c r="C113" s="99" t="s">
        <v>408</v>
      </c>
      <c r="D113" s="100">
        <v>137.43</v>
      </c>
      <c r="E113" s="100">
        <v>180.45</v>
      </c>
      <c r="F113" s="101">
        <f t="shared" si="4"/>
        <v>24799.2435</v>
      </c>
      <c r="G113" s="102">
        <f t="shared" si="5"/>
        <v>7.1113133092762541E-4</v>
      </c>
      <c r="H113" s="102">
        <v>1.1305070656691606E-2</v>
      </c>
      <c r="I113" s="103">
        <f t="shared" si="6"/>
        <v>8.0393899423239467E-6</v>
      </c>
      <c r="J113" s="103">
        <v>7.5600000000000001E-2</v>
      </c>
      <c r="K113" s="103">
        <f t="shared" si="7"/>
        <v>5.376152861812848E-5</v>
      </c>
    </row>
    <row r="114" spans="2:11" ht="15" customHeight="1">
      <c r="B114" s="98" t="s">
        <v>409</v>
      </c>
      <c r="C114" s="99" t="s">
        <v>16</v>
      </c>
      <c r="D114" s="100">
        <v>256.37900000000002</v>
      </c>
      <c r="E114" s="100">
        <v>50.9</v>
      </c>
      <c r="F114" s="101">
        <f t="shared" si="4"/>
        <v>13049.6911</v>
      </c>
      <c r="G114" s="102">
        <f t="shared" si="5"/>
        <v>3.7420674546533597E-4</v>
      </c>
      <c r="H114" s="102">
        <v>3.7721021611001965E-2</v>
      </c>
      <c r="I114" s="103">
        <f t="shared" si="6"/>
        <v>1.4115460732680649E-5</v>
      </c>
      <c r="J114" s="103">
        <v>0.06</v>
      </c>
      <c r="K114" s="103">
        <f t="shared" si="7"/>
        <v>2.2452404727920158E-5</v>
      </c>
    </row>
    <row r="115" spans="2:11" ht="15" customHeight="1">
      <c r="B115" s="98" t="s">
        <v>410</v>
      </c>
      <c r="C115" s="99" t="s">
        <v>411</v>
      </c>
      <c r="D115" s="100">
        <v>157.13300000000001</v>
      </c>
      <c r="E115" s="100">
        <v>129.5</v>
      </c>
      <c r="F115" s="101">
        <f t="shared" si="4"/>
        <v>20348.7235</v>
      </c>
      <c r="G115" s="102" t="str">
        <f t="shared" si="5"/>
        <v/>
      </c>
      <c r="H115" s="102">
        <v>1.4208494208494208E-2</v>
      </c>
      <c r="I115" s="103" t="str">
        <f t="shared" si="6"/>
        <v/>
      </c>
      <c r="J115" s="103">
        <v>-4.5999999999999999E-2</v>
      </c>
      <c r="K115" s="103" t="str">
        <f t="shared" si="7"/>
        <v/>
      </c>
    </row>
    <row r="116" spans="2:11" ht="15" customHeight="1">
      <c r="B116" s="98" t="s">
        <v>412</v>
      </c>
      <c r="C116" s="99" t="s">
        <v>19</v>
      </c>
      <c r="D116" s="100">
        <v>771</v>
      </c>
      <c r="E116" s="100">
        <v>100.23</v>
      </c>
      <c r="F116" s="101">
        <f t="shared" si="4"/>
        <v>77277.33</v>
      </c>
      <c r="G116" s="102">
        <f t="shared" si="5"/>
        <v>2.2159680206952003E-3</v>
      </c>
      <c r="H116" s="102">
        <v>4.0905916392297709E-2</v>
      </c>
      <c r="I116" s="103">
        <f t="shared" si="6"/>
        <v>9.06462025825633E-5</v>
      </c>
      <c r="J116" s="103">
        <v>6.2E-2</v>
      </c>
      <c r="K116" s="103">
        <f t="shared" si="7"/>
        <v>1.3739001728310242E-4</v>
      </c>
    </row>
    <row r="117" spans="2:11" ht="15" customHeight="1">
      <c r="B117" s="98" t="s">
        <v>413</v>
      </c>
      <c r="C117" s="99" t="s">
        <v>414</v>
      </c>
      <c r="D117" s="100">
        <v>184.58099999999999</v>
      </c>
      <c r="E117" s="100">
        <v>62.2</v>
      </c>
      <c r="F117" s="101">
        <f t="shared" si="4"/>
        <v>11480.938200000001</v>
      </c>
      <c r="G117" s="102">
        <f t="shared" si="5"/>
        <v>3.2922193221191669E-4</v>
      </c>
      <c r="H117" s="102">
        <v>4.3086816720257236E-2</v>
      </c>
      <c r="I117" s="103">
        <f t="shared" si="6"/>
        <v>1.4185125053503806E-5</v>
      </c>
      <c r="J117" s="103">
        <v>3.27E-2</v>
      </c>
      <c r="K117" s="103">
        <f t="shared" si="7"/>
        <v>1.0765557183329676E-5</v>
      </c>
    </row>
    <row r="118" spans="2:11" ht="15" customHeight="1">
      <c r="B118" s="98" t="s">
        <v>415</v>
      </c>
      <c r="C118" s="99" t="s">
        <v>416</v>
      </c>
      <c r="D118" s="100">
        <v>399.892</v>
      </c>
      <c r="E118" s="100">
        <v>313.55</v>
      </c>
      <c r="F118" s="101">
        <f t="shared" si="4"/>
        <v>125386.1366</v>
      </c>
      <c r="G118" s="102">
        <f t="shared" si="5"/>
        <v>3.5955133147602281E-3</v>
      </c>
      <c r="H118" s="102">
        <v>1.1991707861585073E-2</v>
      </c>
      <c r="I118" s="103">
        <f t="shared" si="6"/>
        <v>4.3116345283044031E-5</v>
      </c>
      <c r="J118" s="103">
        <v>0.13830000000000001</v>
      </c>
      <c r="K118" s="103">
        <f t="shared" si="7"/>
        <v>4.9725949143133953E-4</v>
      </c>
    </row>
    <row r="119" spans="2:11" ht="15" customHeight="1">
      <c r="B119" s="98" t="s">
        <v>417</v>
      </c>
      <c r="C119" s="99" t="s">
        <v>418</v>
      </c>
      <c r="D119" s="100">
        <v>285.57</v>
      </c>
      <c r="E119" s="100">
        <v>238</v>
      </c>
      <c r="F119" s="101">
        <f t="shared" si="4"/>
        <v>67965.66</v>
      </c>
      <c r="G119" s="102">
        <f t="shared" si="5"/>
        <v>1.9489509933306828E-3</v>
      </c>
      <c r="H119" s="102">
        <v>9.5798319327731092E-3</v>
      </c>
      <c r="I119" s="103">
        <f t="shared" si="6"/>
        <v>1.8670622961319146E-5</v>
      </c>
      <c r="J119" s="103">
        <v>0.14154999999999998</v>
      </c>
      <c r="K119" s="103">
        <f t="shared" si="7"/>
        <v>2.7587401310595811E-4</v>
      </c>
    </row>
    <row r="120" spans="2:11" ht="15" customHeight="1">
      <c r="B120" s="98" t="s">
        <v>1198</v>
      </c>
      <c r="C120" s="99" t="s">
        <v>1199</v>
      </c>
      <c r="D120" s="100">
        <v>123.393</v>
      </c>
      <c r="E120" s="100">
        <v>104.86</v>
      </c>
      <c r="F120" s="101">
        <f t="shared" si="4"/>
        <v>12938.98998</v>
      </c>
      <c r="G120" s="102">
        <f t="shared" si="5"/>
        <v>3.7103233271356078E-4</v>
      </c>
      <c r="H120" s="102">
        <v>2.6702269692923902E-3</v>
      </c>
      <c r="I120" s="103">
        <f t="shared" si="6"/>
        <v>9.9074054129121723E-7</v>
      </c>
      <c r="J120" s="103">
        <v>8.2599999999999993E-2</v>
      </c>
      <c r="K120" s="103">
        <f t="shared" si="7"/>
        <v>3.064727068214012E-5</v>
      </c>
    </row>
    <row r="121" spans="2:11" ht="15" customHeight="1">
      <c r="B121" s="98" t="s">
        <v>419</v>
      </c>
      <c r="C121" s="99" t="s">
        <v>420</v>
      </c>
      <c r="D121" s="100">
        <v>572.1</v>
      </c>
      <c r="E121" s="100">
        <v>110.16</v>
      </c>
      <c r="F121" s="101">
        <f t="shared" si="4"/>
        <v>63022.536</v>
      </c>
      <c r="G121" s="102">
        <f t="shared" si="5"/>
        <v>1.8072043167007971E-3</v>
      </c>
      <c r="H121" s="102">
        <v>1.9063180827886713E-2</v>
      </c>
      <c r="I121" s="103">
        <f t="shared" si="6"/>
        <v>3.4451062682204743E-5</v>
      </c>
      <c r="J121" s="103">
        <v>0.1507</v>
      </c>
      <c r="K121" s="103">
        <f t="shared" si="7"/>
        <v>2.7234569052681011E-4</v>
      </c>
    </row>
    <row r="122" spans="2:11" ht="15" customHeight="1">
      <c r="B122" s="98" t="s">
        <v>421</v>
      </c>
      <c r="C122" s="99" t="s">
        <v>422</v>
      </c>
      <c r="D122" s="100">
        <v>574.71100000000001</v>
      </c>
      <c r="E122" s="100">
        <v>125.87</v>
      </c>
      <c r="F122" s="101">
        <f t="shared" si="4"/>
        <v>72338.873570000011</v>
      </c>
      <c r="G122" s="102">
        <f t="shared" si="5"/>
        <v>2.0743551890862852E-3</v>
      </c>
      <c r="H122" s="102">
        <v>2.8918725669341384E-2</v>
      </c>
      <c r="I122" s="103">
        <f t="shared" si="6"/>
        <v>5.9987708653961054E-5</v>
      </c>
      <c r="J122" s="103">
        <v>5.9900000000000002E-2</v>
      </c>
      <c r="K122" s="103">
        <f t="shared" si="7"/>
        <v>1.2425387582626847E-4</v>
      </c>
    </row>
    <row r="123" spans="2:11" ht="15" customHeight="1">
      <c r="B123" s="98" t="s">
        <v>423</v>
      </c>
      <c r="C123" s="99" t="s">
        <v>424</v>
      </c>
      <c r="D123" s="100">
        <v>217.43100000000001</v>
      </c>
      <c r="E123" s="100">
        <v>293.58</v>
      </c>
      <c r="F123" s="101">
        <f t="shared" si="4"/>
        <v>63833.392979999997</v>
      </c>
      <c r="G123" s="102">
        <f t="shared" si="5"/>
        <v>1.830456066431766E-3</v>
      </c>
      <c r="H123" s="102">
        <v>9.1968117719190695E-3</v>
      </c>
      <c r="I123" s="103">
        <f t="shared" si="6"/>
        <v>1.6834359899740339E-5</v>
      </c>
      <c r="J123" s="103">
        <v>0.10375</v>
      </c>
      <c r="K123" s="103">
        <f t="shared" si="7"/>
        <v>1.8990981689229571E-4</v>
      </c>
    </row>
    <row r="124" spans="2:11" ht="15" customHeight="1">
      <c r="B124" s="98" t="s">
        <v>425</v>
      </c>
      <c r="C124" s="99" t="s">
        <v>22</v>
      </c>
      <c r="D124" s="100">
        <v>213.273</v>
      </c>
      <c r="E124" s="100">
        <v>107</v>
      </c>
      <c r="F124" s="101">
        <f t="shared" si="4"/>
        <v>22820.210999999999</v>
      </c>
      <c r="G124" s="102">
        <f t="shared" si="5"/>
        <v>6.5438153468186388E-4</v>
      </c>
      <c r="H124" s="102">
        <v>4.2242990654205601E-2</v>
      </c>
      <c r="I124" s="103">
        <f t="shared" si="6"/>
        <v>2.7643033053850695E-5</v>
      </c>
      <c r="J124" s="103">
        <v>6.6430000000000003E-2</v>
      </c>
      <c r="K124" s="103">
        <f t="shared" si="7"/>
        <v>4.3470565348916216E-5</v>
      </c>
    </row>
    <row r="125" spans="2:11" ht="15" customHeight="1">
      <c r="B125" s="98" t="s">
        <v>426</v>
      </c>
      <c r="C125" s="99" t="s">
        <v>427</v>
      </c>
      <c r="D125" s="100">
        <v>123.611</v>
      </c>
      <c r="E125" s="100">
        <v>242.46</v>
      </c>
      <c r="F125" s="101">
        <f t="shared" si="4"/>
        <v>29970.72306</v>
      </c>
      <c r="G125" s="102">
        <f t="shared" si="5"/>
        <v>8.5942622316366522E-4</v>
      </c>
      <c r="H125" s="102">
        <v>6.4340509774808213E-3</v>
      </c>
      <c r="I125" s="103">
        <f t="shared" si="6"/>
        <v>5.5295921312188309E-6</v>
      </c>
      <c r="J125" s="103">
        <v>0.15310000000000001</v>
      </c>
      <c r="K125" s="103">
        <f t="shared" si="7"/>
        <v>1.3157815476635715E-4</v>
      </c>
    </row>
    <row r="126" spans="2:11" ht="15" customHeight="1">
      <c r="B126" s="98" t="s">
        <v>428</v>
      </c>
      <c r="C126" s="99" t="s">
        <v>429</v>
      </c>
      <c r="D126" s="100">
        <v>441.59300000000002</v>
      </c>
      <c r="E126" s="100">
        <v>36.979999999999997</v>
      </c>
      <c r="F126" s="101">
        <f t="shared" si="4"/>
        <v>16330.109139999999</v>
      </c>
      <c r="G126" s="102" t="str">
        <f t="shared" si="5"/>
        <v/>
      </c>
      <c r="H126" s="102">
        <v>1.7036235803136832E-2</v>
      </c>
      <c r="I126" s="103" t="str">
        <f t="shared" si="6"/>
        <v/>
      </c>
      <c r="J126" s="103" t="s">
        <v>243</v>
      </c>
      <c r="K126" s="103" t="str">
        <f t="shared" si="7"/>
        <v/>
      </c>
    </row>
    <row r="127" spans="2:11" ht="15" customHeight="1">
      <c r="B127" s="98" t="s">
        <v>430</v>
      </c>
      <c r="C127" s="99" t="s">
        <v>431</v>
      </c>
      <c r="D127" s="100">
        <v>182.2</v>
      </c>
      <c r="E127" s="100">
        <v>211.44</v>
      </c>
      <c r="F127" s="101">
        <f t="shared" si="4"/>
        <v>38524.367999999995</v>
      </c>
      <c r="G127" s="102">
        <f t="shared" si="5"/>
        <v>1.1047064838484134E-3</v>
      </c>
      <c r="H127" s="102" t="s">
        <v>243</v>
      </c>
      <c r="I127" s="103" t="str">
        <f t="shared" si="6"/>
        <v/>
      </c>
      <c r="J127" s="103">
        <v>0.10439999999999999</v>
      </c>
      <c r="K127" s="103">
        <f t="shared" si="7"/>
        <v>1.1533135691377434E-4</v>
      </c>
    </row>
    <row r="128" spans="2:11" ht="15" customHeight="1">
      <c r="B128" s="98" t="s">
        <v>432</v>
      </c>
      <c r="C128" s="99" t="s">
        <v>433</v>
      </c>
      <c r="D128" s="100">
        <v>77.63</v>
      </c>
      <c r="E128" s="100">
        <v>449.06</v>
      </c>
      <c r="F128" s="101">
        <f t="shared" si="4"/>
        <v>34860.527799999996</v>
      </c>
      <c r="G128" s="102">
        <f t="shared" si="5"/>
        <v>9.9964394201192E-4</v>
      </c>
      <c r="H128" s="102" t="s">
        <v>243</v>
      </c>
      <c r="I128" s="103" t="str">
        <f t="shared" si="6"/>
        <v/>
      </c>
      <c r="J128" s="103">
        <v>9.8900000000000002E-2</v>
      </c>
      <c r="K128" s="103">
        <f t="shared" si="7"/>
        <v>9.8864785864978893E-5</v>
      </c>
    </row>
    <row r="129" spans="2:11" ht="15" customHeight="1">
      <c r="B129" s="98" t="s">
        <v>434</v>
      </c>
      <c r="C129" s="99" t="s">
        <v>435</v>
      </c>
      <c r="D129" s="100">
        <v>245.524</v>
      </c>
      <c r="E129" s="100">
        <v>299.83999999999997</v>
      </c>
      <c r="F129" s="101">
        <f t="shared" si="4"/>
        <v>73617.916159999993</v>
      </c>
      <c r="G129" s="102">
        <f t="shared" si="5"/>
        <v>2.111032407056253E-3</v>
      </c>
      <c r="H129" s="102">
        <v>1.8409818569903948E-2</v>
      </c>
      <c r="I129" s="103">
        <f t="shared" si="6"/>
        <v>3.8863723609093235E-5</v>
      </c>
      <c r="J129" s="103">
        <v>0.13345000000000001</v>
      </c>
      <c r="K129" s="103">
        <f t="shared" si="7"/>
        <v>2.81717274721657E-4</v>
      </c>
    </row>
    <row r="130" spans="2:11" ht="15" customHeight="1">
      <c r="B130" s="98" t="s">
        <v>436</v>
      </c>
      <c r="C130" s="99" t="s">
        <v>437</v>
      </c>
      <c r="D130" s="100">
        <v>124.818</v>
      </c>
      <c r="E130" s="100">
        <v>57.55</v>
      </c>
      <c r="F130" s="101">
        <f t="shared" si="4"/>
        <v>7183.2758999999996</v>
      </c>
      <c r="G130" s="102">
        <f t="shared" si="5"/>
        <v>2.0598420880005216E-4</v>
      </c>
      <c r="H130" s="102">
        <v>4.0312771503040835E-2</v>
      </c>
      <c r="I130" s="103">
        <f t="shared" si="6"/>
        <v>8.3037943425911562E-6</v>
      </c>
      <c r="J130" s="103">
        <v>0.1888</v>
      </c>
      <c r="K130" s="103">
        <f t="shared" si="7"/>
        <v>3.8889818621449849E-5</v>
      </c>
    </row>
    <row r="131" spans="2:11" ht="15" customHeight="1">
      <c r="B131" s="98" t="s">
        <v>438</v>
      </c>
      <c r="C131" s="99" t="s">
        <v>439</v>
      </c>
      <c r="D131" s="100">
        <v>285.24900000000002</v>
      </c>
      <c r="E131" s="100">
        <v>89.41</v>
      </c>
      <c r="F131" s="101">
        <f t="shared" si="4"/>
        <v>25504.113090000003</v>
      </c>
      <c r="G131" s="102">
        <f t="shared" si="5"/>
        <v>7.313438365900304E-4</v>
      </c>
      <c r="H131" s="102">
        <v>5.8159042612683154E-3</v>
      </c>
      <c r="I131" s="103">
        <f t="shared" si="6"/>
        <v>4.2534257356762767E-6</v>
      </c>
      <c r="J131" s="103">
        <v>9.7699999999999995E-2</v>
      </c>
      <c r="K131" s="103">
        <f t="shared" si="7"/>
        <v>7.1452292834845964E-5</v>
      </c>
    </row>
    <row r="132" spans="2:11" ht="15" customHeight="1">
      <c r="B132" s="98" t="s">
        <v>440</v>
      </c>
      <c r="C132" s="99" t="s">
        <v>122</v>
      </c>
      <c r="D132" s="100">
        <v>3921.4850000000001</v>
      </c>
      <c r="E132" s="100">
        <v>12.54</v>
      </c>
      <c r="F132" s="101">
        <f t="shared" si="4"/>
        <v>49175.421900000001</v>
      </c>
      <c r="G132" s="102">
        <f t="shared" si="5"/>
        <v>1.4101310479359783E-3</v>
      </c>
      <c r="H132" s="102">
        <v>4.784688995215311E-2</v>
      </c>
      <c r="I132" s="103">
        <f t="shared" si="6"/>
        <v>6.7470385068707094E-5</v>
      </c>
      <c r="J132" s="103">
        <v>1.67E-2</v>
      </c>
      <c r="K132" s="103">
        <f t="shared" si="7"/>
        <v>2.3549188500530839E-5</v>
      </c>
    </row>
    <row r="133" spans="2:11" ht="15" customHeight="1">
      <c r="B133" s="98" t="s">
        <v>441</v>
      </c>
      <c r="C133" s="99" t="s">
        <v>26</v>
      </c>
      <c r="D133" s="100">
        <v>2055</v>
      </c>
      <c r="E133" s="100">
        <v>70.81</v>
      </c>
      <c r="F133" s="101">
        <f t="shared" si="4"/>
        <v>145514.55000000002</v>
      </c>
      <c r="G133" s="102">
        <f t="shared" si="5"/>
        <v>4.1727061396382723E-3</v>
      </c>
      <c r="H133" s="102">
        <v>2.9091936167208021E-2</v>
      </c>
      <c r="I133" s="103">
        <f t="shared" si="6"/>
        <v>1.2139210065887362E-4</v>
      </c>
      <c r="J133" s="103">
        <v>9.5850000000000005E-2</v>
      </c>
      <c r="K133" s="103">
        <f t="shared" si="7"/>
        <v>3.9995388348432843E-4</v>
      </c>
    </row>
    <row r="134" spans="2:11" ht="15" customHeight="1">
      <c r="B134" s="98" t="s">
        <v>442</v>
      </c>
      <c r="C134" s="99" t="s">
        <v>443</v>
      </c>
      <c r="D134" s="100">
        <v>526.09100000000001</v>
      </c>
      <c r="E134" s="100">
        <v>22.35</v>
      </c>
      <c r="F134" s="101">
        <f t="shared" si="4"/>
        <v>11758.13385</v>
      </c>
      <c r="G134" s="102" t="str">
        <f t="shared" si="5"/>
        <v/>
      </c>
      <c r="H134" s="102">
        <v>5.5480984340044739E-2</v>
      </c>
      <c r="I134" s="103" t="str">
        <f t="shared" si="6"/>
        <v/>
      </c>
      <c r="J134" s="103" t="s">
        <v>243</v>
      </c>
      <c r="K134" s="103" t="str">
        <f t="shared" si="7"/>
        <v/>
      </c>
    </row>
    <row r="135" spans="2:11" ht="15" customHeight="1">
      <c r="B135" s="98" t="s">
        <v>444</v>
      </c>
      <c r="C135" s="99" t="s">
        <v>445</v>
      </c>
      <c r="D135" s="100">
        <v>192.078</v>
      </c>
      <c r="E135" s="100">
        <v>162.91999999999999</v>
      </c>
      <c r="F135" s="101">
        <f t="shared" si="4"/>
        <v>31293.347759999997</v>
      </c>
      <c r="G135" s="102">
        <f t="shared" si="5"/>
        <v>8.9735318102545443E-4</v>
      </c>
      <c r="H135" s="102">
        <v>1.8413945494721338E-2</v>
      </c>
      <c r="I135" s="103">
        <f t="shared" si="6"/>
        <v>1.6523812564917527E-5</v>
      </c>
      <c r="J135" s="103">
        <v>8.0399999999999985E-2</v>
      </c>
      <c r="K135" s="103">
        <f t="shared" si="7"/>
        <v>7.2147195754446519E-5</v>
      </c>
    </row>
    <row r="136" spans="2:11" ht="15" customHeight="1">
      <c r="B136" s="98" t="s">
        <v>446</v>
      </c>
      <c r="C136" s="99" t="s">
        <v>447</v>
      </c>
      <c r="D136" s="100">
        <v>1436.49</v>
      </c>
      <c r="E136" s="100">
        <v>48.6</v>
      </c>
      <c r="F136" s="101">
        <f t="shared" si="4"/>
        <v>69813.414000000004</v>
      </c>
      <c r="G136" s="102">
        <f t="shared" si="5"/>
        <v>2.0019363096467568E-3</v>
      </c>
      <c r="H136" s="102">
        <v>1.2345679012345678E-2</v>
      </c>
      <c r="I136" s="103">
        <f t="shared" si="6"/>
        <v>2.4715263082058725E-5</v>
      </c>
      <c r="J136" s="103">
        <v>0.17269999999999999</v>
      </c>
      <c r="K136" s="103">
        <f t="shared" si="7"/>
        <v>3.4573440067599487E-4</v>
      </c>
    </row>
    <row r="137" spans="2:11" ht="15" customHeight="1">
      <c r="B137" s="98" t="s">
        <v>448</v>
      </c>
      <c r="C137" s="99" t="s">
        <v>449</v>
      </c>
      <c r="D137" s="100">
        <v>397.68400000000003</v>
      </c>
      <c r="E137" s="100">
        <v>113.38</v>
      </c>
      <c r="F137" s="101">
        <f t="shared" si="4"/>
        <v>45089.411919999999</v>
      </c>
      <c r="G137" s="102" t="str">
        <f t="shared" si="5"/>
        <v/>
      </c>
      <c r="H137" s="102" t="s">
        <v>243</v>
      </c>
      <c r="I137" s="103" t="str">
        <f t="shared" si="6"/>
        <v/>
      </c>
      <c r="J137" s="103">
        <v>0.23629999999999998</v>
      </c>
      <c r="K137" s="103" t="str">
        <f t="shared" si="7"/>
        <v/>
      </c>
    </row>
    <row r="138" spans="2:11" ht="15" customHeight="1">
      <c r="B138" s="98" t="s">
        <v>450</v>
      </c>
      <c r="C138" s="99" t="s">
        <v>451</v>
      </c>
      <c r="D138" s="100">
        <v>274.36399999999998</v>
      </c>
      <c r="E138" s="100">
        <v>290.14</v>
      </c>
      <c r="F138" s="101">
        <f t="shared" si="4"/>
        <v>79603.970959999991</v>
      </c>
      <c r="G138" s="102">
        <f t="shared" si="5"/>
        <v>2.2826856720814422E-3</v>
      </c>
      <c r="H138" s="102">
        <v>1.9576756048804024E-2</v>
      </c>
      <c r="I138" s="103">
        <f t="shared" si="6"/>
        <v>4.4687580538438652E-5</v>
      </c>
      <c r="J138" s="103">
        <v>0.14175000000000001</v>
      </c>
      <c r="K138" s="103">
        <f t="shared" si="7"/>
        <v>3.2357069401754446E-4</v>
      </c>
    </row>
    <row r="139" spans="2:11" ht="15" customHeight="1">
      <c r="B139" s="98" t="s">
        <v>452</v>
      </c>
      <c r="C139" s="99" t="s">
        <v>453</v>
      </c>
      <c r="D139" s="100">
        <v>558.14599999999996</v>
      </c>
      <c r="E139" s="100">
        <v>63.26</v>
      </c>
      <c r="F139" s="101">
        <f t="shared" si="4"/>
        <v>35308.315959999993</v>
      </c>
      <c r="G139" s="102">
        <f t="shared" si="5"/>
        <v>1.0124845026602491E-3</v>
      </c>
      <c r="H139" s="102">
        <v>3.7938665823585203E-2</v>
      </c>
      <c r="I139" s="103">
        <f t="shared" si="6"/>
        <v>3.8412311197986052E-5</v>
      </c>
      <c r="J139" s="103">
        <v>1.1899999999999999E-2</v>
      </c>
      <c r="K139" s="103">
        <f t="shared" si="7"/>
        <v>1.2048565581656964E-5</v>
      </c>
    </row>
    <row r="140" spans="2:11" ht="15" customHeight="1">
      <c r="B140" s="98" t="s">
        <v>454</v>
      </c>
      <c r="C140" s="99" t="s">
        <v>455</v>
      </c>
      <c r="D140" s="100">
        <v>139.29900000000001</v>
      </c>
      <c r="E140" s="100">
        <v>138.32</v>
      </c>
      <c r="F140" s="101">
        <f t="shared" si="4"/>
        <v>19267.837680000001</v>
      </c>
      <c r="G140" s="102" t="str">
        <f t="shared" si="5"/>
        <v/>
      </c>
      <c r="H140" s="102">
        <v>2.8918449971081551E-2</v>
      </c>
      <c r="I140" s="103" t="str">
        <f t="shared" si="6"/>
        <v/>
      </c>
      <c r="J140" s="103" t="s">
        <v>243</v>
      </c>
      <c r="K140" s="103" t="str">
        <f t="shared" si="7"/>
        <v/>
      </c>
    </row>
    <row r="141" spans="2:11" ht="15" customHeight="1">
      <c r="B141" s="98" t="s">
        <v>456</v>
      </c>
      <c r="C141" s="99" t="s">
        <v>457</v>
      </c>
      <c r="D141" s="100">
        <v>150.87700000000001</v>
      </c>
      <c r="E141" s="100">
        <v>116.65</v>
      </c>
      <c r="F141" s="101">
        <f t="shared" si="4"/>
        <v>17599.802050000002</v>
      </c>
      <c r="G141" s="102">
        <f t="shared" si="5"/>
        <v>5.0468356649182667E-4</v>
      </c>
      <c r="H141" s="102">
        <v>2.7603943420488643E-2</v>
      </c>
      <c r="I141" s="103">
        <f t="shared" si="6"/>
        <v>1.3931256614690801E-5</v>
      </c>
      <c r="J141" s="103">
        <v>7.0000000000000007E-2</v>
      </c>
      <c r="K141" s="103">
        <f t="shared" si="7"/>
        <v>3.5327849654427872E-5</v>
      </c>
    </row>
    <row r="142" spans="2:11" ht="15" customHeight="1">
      <c r="B142" s="98" t="s">
        <v>458</v>
      </c>
      <c r="C142" s="99" t="s">
        <v>459</v>
      </c>
      <c r="D142" s="100">
        <v>49.069000000000003</v>
      </c>
      <c r="E142" s="100">
        <v>902.24</v>
      </c>
      <c r="F142" s="101">
        <f t="shared" si="4"/>
        <v>44272.014560000003</v>
      </c>
      <c r="G142" s="102" t="str">
        <f t="shared" si="5"/>
        <v/>
      </c>
      <c r="H142" s="102">
        <v>9.0884908671750309E-3</v>
      </c>
      <c r="I142" s="103" t="str">
        <f t="shared" si="6"/>
        <v/>
      </c>
      <c r="J142" s="103" t="s">
        <v>243</v>
      </c>
      <c r="K142" s="103" t="str">
        <f t="shared" si="7"/>
        <v/>
      </c>
    </row>
    <row r="143" spans="2:11" ht="15" customHeight="1">
      <c r="B143" s="98" t="s">
        <v>460</v>
      </c>
      <c r="C143" s="99" t="s">
        <v>461</v>
      </c>
      <c r="D143" s="100">
        <v>885.30100000000004</v>
      </c>
      <c r="E143" s="100">
        <v>33.78</v>
      </c>
      <c r="F143" s="101">
        <f t="shared" si="4"/>
        <v>29905.467780000003</v>
      </c>
      <c r="G143" s="102">
        <f t="shared" si="5"/>
        <v>8.5755499374021713E-4</v>
      </c>
      <c r="H143" s="102">
        <v>2.0130254588513915E-2</v>
      </c>
      <c r="I143" s="103">
        <f t="shared" si="6"/>
        <v>1.7262800347642027E-5</v>
      </c>
      <c r="J143" s="103">
        <v>0.10300000000000001</v>
      </c>
      <c r="K143" s="103">
        <f t="shared" si="7"/>
        <v>8.8328164355242373E-5</v>
      </c>
    </row>
    <row r="144" spans="2:11" ht="15" customHeight="1">
      <c r="B144" s="98" t="s">
        <v>462</v>
      </c>
      <c r="C144" s="99" t="s">
        <v>463</v>
      </c>
      <c r="D144" s="100">
        <v>189.68</v>
      </c>
      <c r="E144" s="100">
        <v>224.58</v>
      </c>
      <c r="F144" s="101">
        <f t="shared" ref="F144:F207" si="8">D144*E144</f>
        <v>42598.334400000007</v>
      </c>
      <c r="G144" s="102">
        <f t="shared" ref="G144:G207" si="9">IF(AND(ISNUMBER($J144)), IF(AND($J144&lt;=20%,$J144&gt;0%), $F144/SUMIFS($F$15:$F$517,$J$15:$J$517, "&gt;"&amp;0%,$J$15:$J$517, "&lt;="&amp;20%),""),"")</f>
        <v>1.2215296098516898E-3</v>
      </c>
      <c r="H144" s="102">
        <v>2.0660789028408583E-2</v>
      </c>
      <c r="I144" s="103">
        <f t="shared" ref="I144:I207" si="10">IFERROR(G144*H144,"")</f>
        <v>2.523776556110001E-5</v>
      </c>
      <c r="J144" s="103">
        <v>8.5299999999999987E-2</v>
      </c>
      <c r="K144" s="103">
        <f t="shared" ref="K144:K207" si="11">IFERROR(G144*J144,"")</f>
        <v>1.0419647572034913E-4</v>
      </c>
    </row>
    <row r="145" spans="2:11" ht="15" customHeight="1">
      <c r="B145" s="98" t="s">
        <v>464</v>
      </c>
      <c r="C145" s="99" t="s">
        <v>1270</v>
      </c>
      <c r="D145" s="100">
        <v>703.78200000000004</v>
      </c>
      <c r="E145" s="100">
        <v>19.600000000000001</v>
      </c>
      <c r="F145" s="101">
        <f t="shared" si="8"/>
        <v>13794.127200000003</v>
      </c>
      <c r="G145" s="102">
        <f t="shared" si="9"/>
        <v>3.9555384158073049E-4</v>
      </c>
      <c r="H145" s="102">
        <v>6.1224489795918359E-2</v>
      </c>
      <c r="I145" s="103">
        <f t="shared" si="10"/>
        <v>2.4217582137595739E-5</v>
      </c>
      <c r="J145" s="103">
        <v>4.4800000000000006E-2</v>
      </c>
      <c r="K145" s="103">
        <f t="shared" si="11"/>
        <v>1.7720812102816729E-5</v>
      </c>
    </row>
    <row r="146" spans="2:11" ht="15" customHeight="1">
      <c r="B146" s="98" t="s">
        <v>1196</v>
      </c>
      <c r="C146" s="99" t="s">
        <v>1197</v>
      </c>
      <c r="D146" s="100">
        <v>70.040000000000006</v>
      </c>
      <c r="E146" s="100">
        <v>201.8</v>
      </c>
      <c r="F146" s="101">
        <f t="shared" si="8"/>
        <v>14134.072000000002</v>
      </c>
      <c r="G146" s="102" t="str">
        <f t="shared" si="9"/>
        <v/>
      </c>
      <c r="H146" s="102" t="s">
        <v>243</v>
      </c>
      <c r="I146" s="103" t="str">
        <f t="shared" si="10"/>
        <v/>
      </c>
      <c r="J146" s="103">
        <v>0.28439999999999999</v>
      </c>
      <c r="K146" s="103" t="str">
        <f t="shared" si="11"/>
        <v/>
      </c>
    </row>
    <row r="147" spans="2:11" ht="15" customHeight="1">
      <c r="B147" s="98" t="s">
        <v>465</v>
      </c>
      <c r="C147" s="99" t="s">
        <v>466</v>
      </c>
      <c r="D147" s="100">
        <v>180.98</v>
      </c>
      <c r="E147" s="100">
        <v>56.23</v>
      </c>
      <c r="F147" s="101">
        <f t="shared" si="8"/>
        <v>10176.505399999998</v>
      </c>
      <c r="G147" s="102" t="str">
        <f t="shared" si="9"/>
        <v/>
      </c>
      <c r="H147" s="102" t="s">
        <v>243</v>
      </c>
      <c r="I147" s="103" t="str">
        <f t="shared" si="10"/>
        <v/>
      </c>
      <c r="J147" s="103">
        <v>0.28239999999999998</v>
      </c>
      <c r="K147" s="103" t="str">
        <f t="shared" si="11"/>
        <v/>
      </c>
    </row>
    <row r="148" spans="2:11" ht="15" customHeight="1">
      <c r="B148" s="98" t="s">
        <v>467</v>
      </c>
      <c r="C148" s="99" t="s">
        <v>468</v>
      </c>
      <c r="D148" s="100">
        <v>352.029</v>
      </c>
      <c r="E148" s="100">
        <v>74.099999999999994</v>
      </c>
      <c r="F148" s="101">
        <f t="shared" si="8"/>
        <v>26085.348899999997</v>
      </c>
      <c r="G148" s="102">
        <f t="shared" si="9"/>
        <v>7.4801107868344727E-4</v>
      </c>
      <c r="H148" s="102">
        <v>4.3184885290148455E-3</v>
      </c>
      <c r="I148" s="103">
        <f t="shared" si="10"/>
        <v>3.2302772628704878E-6</v>
      </c>
      <c r="J148" s="103">
        <v>8.9800000000000005E-2</v>
      </c>
      <c r="K148" s="103">
        <f t="shared" si="11"/>
        <v>6.7171394865773567E-5</v>
      </c>
    </row>
    <row r="149" spans="2:11" ht="15" customHeight="1">
      <c r="B149" s="98" t="s">
        <v>469</v>
      </c>
      <c r="C149" s="99" t="s">
        <v>470</v>
      </c>
      <c r="D149" s="100">
        <v>147.61600000000001</v>
      </c>
      <c r="E149" s="100">
        <v>183.83</v>
      </c>
      <c r="F149" s="101">
        <f t="shared" si="8"/>
        <v>27136.249280000004</v>
      </c>
      <c r="G149" s="102">
        <f t="shared" si="9"/>
        <v>7.7814619897055408E-4</v>
      </c>
      <c r="H149" s="102">
        <v>2.981015068269597E-2</v>
      </c>
      <c r="I149" s="103">
        <f t="shared" si="10"/>
        <v>2.3196655444479338E-5</v>
      </c>
      <c r="J149" s="103">
        <v>2.3599999999999999E-2</v>
      </c>
      <c r="K149" s="103">
        <f t="shared" si="11"/>
        <v>1.8364250295705076E-5</v>
      </c>
    </row>
    <row r="150" spans="2:11" ht="15" customHeight="1">
      <c r="B150" s="98" t="s">
        <v>471</v>
      </c>
      <c r="C150" s="99" t="s">
        <v>472</v>
      </c>
      <c r="D150" s="100">
        <v>401.54399999999998</v>
      </c>
      <c r="E150" s="100">
        <v>47.19</v>
      </c>
      <c r="F150" s="101">
        <f t="shared" si="8"/>
        <v>18948.861359999999</v>
      </c>
      <c r="G150" s="102" t="str">
        <f t="shared" si="9"/>
        <v/>
      </c>
      <c r="H150" s="102">
        <v>2.1190930281839375E-2</v>
      </c>
      <c r="I150" s="103" t="str">
        <f t="shared" si="10"/>
        <v/>
      </c>
      <c r="J150" s="103" t="s">
        <v>243</v>
      </c>
      <c r="K150" s="103" t="str">
        <f t="shared" si="11"/>
        <v/>
      </c>
    </row>
    <row r="151" spans="2:11" ht="15" customHeight="1">
      <c r="B151" s="98" t="s">
        <v>473</v>
      </c>
      <c r="C151" s="99" t="s">
        <v>474</v>
      </c>
      <c r="D151" s="100">
        <v>548.30499999999995</v>
      </c>
      <c r="E151" s="100">
        <v>30.49</v>
      </c>
      <c r="F151" s="101">
        <f t="shared" si="8"/>
        <v>16717.819449999999</v>
      </c>
      <c r="G151" s="102">
        <f t="shared" si="9"/>
        <v>4.7939225225504328E-4</v>
      </c>
      <c r="H151" s="102">
        <v>3.7061331584125938E-2</v>
      </c>
      <c r="I151" s="103">
        <f t="shared" si="10"/>
        <v>1.7766915219685105E-5</v>
      </c>
      <c r="J151" s="103">
        <v>6.59E-2</v>
      </c>
      <c r="K151" s="103">
        <f t="shared" si="11"/>
        <v>3.1591949423607349E-5</v>
      </c>
    </row>
    <row r="152" spans="2:11" ht="15" customHeight="1">
      <c r="B152" s="98" t="s">
        <v>475</v>
      </c>
      <c r="C152" s="99" t="s">
        <v>476</v>
      </c>
      <c r="D152" s="100">
        <v>218.5</v>
      </c>
      <c r="E152" s="100">
        <v>259.31</v>
      </c>
      <c r="F152" s="101">
        <f t="shared" si="8"/>
        <v>56659.235000000001</v>
      </c>
      <c r="G152" s="102">
        <f t="shared" si="9"/>
        <v>1.6247333187760786E-3</v>
      </c>
      <c r="H152" s="102">
        <v>9.2553314565577867E-3</v>
      </c>
      <c r="I152" s="103">
        <f t="shared" si="10"/>
        <v>1.503744539378577E-5</v>
      </c>
      <c r="J152" s="103">
        <v>0.12545000000000001</v>
      </c>
      <c r="K152" s="103">
        <f t="shared" si="11"/>
        <v>2.0382279484045906E-4</v>
      </c>
    </row>
    <row r="153" spans="2:11" ht="15" customHeight="1">
      <c r="B153" s="98" t="s">
        <v>477</v>
      </c>
      <c r="C153" s="99" t="s">
        <v>478</v>
      </c>
      <c r="D153" s="100">
        <v>1341.3589999999999</v>
      </c>
      <c r="E153" s="100">
        <v>65.44</v>
      </c>
      <c r="F153" s="101">
        <f t="shared" si="8"/>
        <v>87778.532959999997</v>
      </c>
      <c r="G153" s="102">
        <f t="shared" si="9"/>
        <v>2.5170955303825794E-3</v>
      </c>
      <c r="H153" s="102">
        <v>2.5977995110024452E-2</v>
      </c>
      <c r="I153" s="103">
        <f t="shared" si="10"/>
        <v>6.5389095379743051E-5</v>
      </c>
      <c r="J153" s="103">
        <v>7.6499999999999999E-2</v>
      </c>
      <c r="K153" s="103">
        <f t="shared" si="11"/>
        <v>1.9255780807426732E-4</v>
      </c>
    </row>
    <row r="154" spans="2:11" ht="15" customHeight="1">
      <c r="B154" s="98" t="s">
        <v>479</v>
      </c>
      <c r="C154" s="99" t="s">
        <v>480</v>
      </c>
      <c r="D154" s="100">
        <v>639.72400000000005</v>
      </c>
      <c r="E154" s="100">
        <v>30.98</v>
      </c>
      <c r="F154" s="101">
        <f t="shared" si="8"/>
        <v>19818.649520000003</v>
      </c>
      <c r="G154" s="102">
        <f t="shared" si="9"/>
        <v>5.6831018294351378E-4</v>
      </c>
      <c r="H154" s="102">
        <v>2.5823111684958037E-2</v>
      </c>
      <c r="I154" s="103">
        <f t="shared" si="10"/>
        <v>1.467553732584929E-5</v>
      </c>
      <c r="J154" s="103">
        <v>7.9500000000000001E-2</v>
      </c>
      <c r="K154" s="103">
        <f t="shared" si="11"/>
        <v>4.5180659544009344E-5</v>
      </c>
    </row>
    <row r="155" spans="2:11" ht="15" customHeight="1">
      <c r="B155" s="98" t="s">
        <v>481</v>
      </c>
      <c r="C155" s="99" t="s">
        <v>482</v>
      </c>
      <c r="D155" s="100">
        <v>120.501</v>
      </c>
      <c r="E155" s="100">
        <v>373.65</v>
      </c>
      <c r="F155" s="101">
        <f t="shared" si="8"/>
        <v>45025.198649999998</v>
      </c>
      <c r="G155" s="102" t="str">
        <f t="shared" si="9"/>
        <v/>
      </c>
      <c r="H155" s="102">
        <v>9.4741067844239264E-3</v>
      </c>
      <c r="I155" s="103" t="str">
        <f t="shared" si="10"/>
        <v/>
      </c>
      <c r="J155" s="103">
        <v>-1.3000000000000001E-2</v>
      </c>
      <c r="K155" s="103" t="str">
        <f t="shared" si="11"/>
        <v/>
      </c>
    </row>
    <row r="156" spans="2:11" ht="15" customHeight="1">
      <c r="B156" s="98" t="s">
        <v>483</v>
      </c>
      <c r="C156" s="99" t="s">
        <v>484</v>
      </c>
      <c r="D156" s="100">
        <v>102.236</v>
      </c>
      <c r="E156" s="100">
        <v>262.14</v>
      </c>
      <c r="F156" s="101">
        <f t="shared" si="8"/>
        <v>26800.145039999999</v>
      </c>
      <c r="G156" s="102">
        <f t="shared" si="9"/>
        <v>7.6850823338012707E-4</v>
      </c>
      <c r="H156" s="102">
        <v>1.3427939269092852E-2</v>
      </c>
      <c r="I156" s="103">
        <f t="shared" si="10"/>
        <v>1.0319481885626182E-5</v>
      </c>
      <c r="J156" s="103">
        <v>0.1241</v>
      </c>
      <c r="K156" s="103">
        <f t="shared" si="11"/>
        <v>9.5371871762473765E-5</v>
      </c>
    </row>
    <row r="157" spans="2:11" ht="15" customHeight="1">
      <c r="B157" s="98" t="s">
        <v>485</v>
      </c>
      <c r="C157" s="99" t="s">
        <v>486</v>
      </c>
      <c r="D157" s="100">
        <v>298.39999999999998</v>
      </c>
      <c r="E157" s="100">
        <v>236.96</v>
      </c>
      <c r="F157" s="101">
        <f t="shared" si="8"/>
        <v>70708.864000000001</v>
      </c>
      <c r="G157" s="102">
        <f t="shared" si="9"/>
        <v>2.0276138086510768E-3</v>
      </c>
      <c r="H157" s="102">
        <v>2.3632680621201888E-2</v>
      </c>
      <c r="I157" s="103">
        <f t="shared" si="10"/>
        <v>4.7917949562989655E-5</v>
      </c>
      <c r="J157" s="103">
        <v>7.2550000000000003E-2</v>
      </c>
      <c r="K157" s="103">
        <f t="shared" si="11"/>
        <v>1.4710338181763563E-4</v>
      </c>
    </row>
    <row r="158" spans="2:11" ht="15" customHeight="1">
      <c r="B158" s="98" t="s">
        <v>487</v>
      </c>
      <c r="C158" s="99" t="s">
        <v>488</v>
      </c>
      <c r="D158" s="100">
        <v>134.398</v>
      </c>
      <c r="E158" s="100">
        <v>223.84</v>
      </c>
      <c r="F158" s="101">
        <f t="shared" si="8"/>
        <v>30083.64832</v>
      </c>
      <c r="G158" s="102">
        <f t="shared" si="9"/>
        <v>8.6266441429796927E-4</v>
      </c>
      <c r="H158" s="102">
        <v>1.1079342387419585E-2</v>
      </c>
      <c r="I158" s="103">
        <f t="shared" si="10"/>
        <v>9.5577544114499804E-6</v>
      </c>
      <c r="J158" s="103">
        <v>7.0199999999999999E-2</v>
      </c>
      <c r="K158" s="103">
        <f t="shared" si="11"/>
        <v>6.0559041883717442E-5</v>
      </c>
    </row>
    <row r="159" spans="2:11" ht="15" customHeight="1">
      <c r="B159" s="98" t="s">
        <v>489</v>
      </c>
      <c r="C159" s="99" t="s">
        <v>490</v>
      </c>
      <c r="D159" s="100">
        <v>226.352</v>
      </c>
      <c r="E159" s="100">
        <v>328.93</v>
      </c>
      <c r="F159" s="101">
        <f t="shared" si="8"/>
        <v>74453.963360000009</v>
      </c>
      <c r="G159" s="102">
        <f t="shared" si="9"/>
        <v>2.1350064995746126E-3</v>
      </c>
      <c r="H159" s="102">
        <v>1.0214939348797615E-2</v>
      </c>
      <c r="I159" s="103">
        <f t="shared" si="10"/>
        <v>2.180896190244337E-5</v>
      </c>
      <c r="J159" s="103">
        <v>0.13464999999999999</v>
      </c>
      <c r="K159" s="103">
        <f t="shared" si="11"/>
        <v>2.874786251677216E-4</v>
      </c>
    </row>
    <row r="160" spans="2:11" ht="15" customHeight="1">
      <c r="B160" s="98" t="s">
        <v>491</v>
      </c>
      <c r="C160" s="99" t="s">
        <v>492</v>
      </c>
      <c r="D160" s="100">
        <v>377.42399999999998</v>
      </c>
      <c r="E160" s="100">
        <v>29.09</v>
      </c>
      <c r="F160" s="101">
        <f t="shared" si="8"/>
        <v>10979.264159999999</v>
      </c>
      <c r="G160" s="102">
        <f t="shared" si="9"/>
        <v>3.1483616565589095E-4</v>
      </c>
      <c r="H160" s="102">
        <v>4.5376418013062914E-2</v>
      </c>
      <c r="I160" s="103">
        <f t="shared" si="10"/>
        <v>1.4286137458431629E-5</v>
      </c>
      <c r="J160" s="103">
        <v>3.3599999999999998E-2</v>
      </c>
      <c r="K160" s="103">
        <f t="shared" si="11"/>
        <v>1.0578495166037934E-5</v>
      </c>
    </row>
    <row r="161" spans="2:11" ht="15" customHeight="1">
      <c r="B161" s="98" t="s">
        <v>493</v>
      </c>
      <c r="C161" s="99" t="s">
        <v>494</v>
      </c>
      <c r="D161" s="100">
        <v>255.351</v>
      </c>
      <c r="E161" s="100">
        <v>95.21</v>
      </c>
      <c r="F161" s="101">
        <f t="shared" si="8"/>
        <v>24311.968709999997</v>
      </c>
      <c r="G161" s="102">
        <f t="shared" si="9"/>
        <v>6.9715847042725653E-4</v>
      </c>
      <c r="H161" s="102">
        <v>1.6804957462451427E-2</v>
      </c>
      <c r="I161" s="103">
        <f t="shared" si="10"/>
        <v>1.1715718440117746E-5</v>
      </c>
      <c r="J161" s="103">
        <v>2.3E-3</v>
      </c>
      <c r="K161" s="103">
        <f t="shared" si="11"/>
        <v>1.6034644819826899E-6</v>
      </c>
    </row>
    <row r="162" spans="2:11" ht="15" customHeight="1">
      <c r="B162" s="98" t="s">
        <v>495</v>
      </c>
      <c r="C162" s="99" t="s">
        <v>496</v>
      </c>
      <c r="D162" s="100">
        <v>60.613999999999997</v>
      </c>
      <c r="E162" s="100">
        <v>132.22</v>
      </c>
      <c r="F162" s="101">
        <f t="shared" si="8"/>
        <v>8014.3830799999996</v>
      </c>
      <c r="G162" s="102">
        <f t="shared" si="9"/>
        <v>2.2981664365061142E-4</v>
      </c>
      <c r="H162" s="102" t="s">
        <v>243</v>
      </c>
      <c r="I162" s="103" t="str">
        <f t="shared" si="10"/>
        <v/>
      </c>
      <c r="J162" s="103">
        <v>7.0000000000000007E-2</v>
      </c>
      <c r="K162" s="103">
        <f t="shared" si="11"/>
        <v>1.6087165055542801E-5</v>
      </c>
    </row>
    <row r="163" spans="2:11" ht="15" customHeight="1">
      <c r="B163" s="98" t="s">
        <v>497</v>
      </c>
      <c r="C163" s="99" t="s">
        <v>498</v>
      </c>
      <c r="D163" s="100">
        <v>255.684</v>
      </c>
      <c r="E163" s="100">
        <v>269.08999999999997</v>
      </c>
      <c r="F163" s="101">
        <f t="shared" si="8"/>
        <v>68802.007559999998</v>
      </c>
      <c r="G163" s="102">
        <f t="shared" si="9"/>
        <v>1.9729336988297784E-3</v>
      </c>
      <c r="H163" s="102">
        <v>1.5073023895351E-2</v>
      </c>
      <c r="I163" s="103">
        <f t="shared" si="10"/>
        <v>2.9738076786404484E-5</v>
      </c>
      <c r="J163" s="103">
        <v>6.9199999999999998E-2</v>
      </c>
      <c r="K163" s="103">
        <f t="shared" si="11"/>
        <v>1.3652701195902066E-4</v>
      </c>
    </row>
    <row r="164" spans="2:11" ht="15" customHeight="1">
      <c r="B164" s="98" t="s">
        <v>1242</v>
      </c>
      <c r="C164" s="99" t="s">
        <v>499</v>
      </c>
      <c r="D164" s="100">
        <v>341.88400000000001</v>
      </c>
      <c r="E164" s="100">
        <v>57.68</v>
      </c>
      <c r="F164" s="101">
        <f t="shared" si="8"/>
        <v>19719.869119999999</v>
      </c>
      <c r="G164" s="102">
        <f t="shared" si="9"/>
        <v>5.6547760309802117E-4</v>
      </c>
      <c r="H164" s="102">
        <v>3.8834951456310683E-2</v>
      </c>
      <c r="I164" s="103">
        <f t="shared" si="10"/>
        <v>2.1960295265942572E-5</v>
      </c>
      <c r="J164" s="103">
        <v>8.4149999999999989E-2</v>
      </c>
      <c r="K164" s="103">
        <f t="shared" si="11"/>
        <v>4.7584940300698473E-5</v>
      </c>
    </row>
    <row r="165" spans="2:11" ht="15" customHeight="1">
      <c r="B165" s="98" t="s">
        <v>500</v>
      </c>
      <c r="C165" s="99" t="s">
        <v>501</v>
      </c>
      <c r="D165" s="100">
        <v>118.18</v>
      </c>
      <c r="E165" s="100">
        <v>197</v>
      </c>
      <c r="F165" s="101">
        <f t="shared" si="8"/>
        <v>23281.460000000003</v>
      </c>
      <c r="G165" s="102" t="str">
        <f t="shared" si="9"/>
        <v/>
      </c>
      <c r="H165" s="102">
        <v>1.6243654822335026E-2</v>
      </c>
      <c r="I165" s="103" t="str">
        <f t="shared" si="10"/>
        <v/>
      </c>
      <c r="J165" s="103" t="s">
        <v>243</v>
      </c>
      <c r="K165" s="103" t="str">
        <f t="shared" si="11"/>
        <v/>
      </c>
    </row>
    <row r="166" spans="2:11" ht="15" customHeight="1">
      <c r="B166" s="98" t="s">
        <v>502</v>
      </c>
      <c r="C166" s="99" t="s">
        <v>503</v>
      </c>
      <c r="D166" s="100">
        <v>336.709</v>
      </c>
      <c r="E166" s="100">
        <v>138.19999999999999</v>
      </c>
      <c r="F166" s="101">
        <f t="shared" si="8"/>
        <v>46533.183799999999</v>
      </c>
      <c r="G166" s="102">
        <f t="shared" si="9"/>
        <v>1.3343634828213134E-3</v>
      </c>
      <c r="H166" s="102">
        <v>3.5311143270622292E-2</v>
      </c>
      <c r="I166" s="103">
        <f t="shared" si="10"/>
        <v>4.7117900116989946E-5</v>
      </c>
      <c r="J166" s="103">
        <v>9.1799999999999993E-2</v>
      </c>
      <c r="K166" s="103">
        <f t="shared" si="11"/>
        <v>1.2249456772299655E-4</v>
      </c>
    </row>
    <row r="167" spans="2:11" ht="15" customHeight="1">
      <c r="B167" s="98" t="s">
        <v>504</v>
      </c>
      <c r="C167" s="99" t="s">
        <v>505</v>
      </c>
      <c r="D167" s="100">
        <v>674.11599999999999</v>
      </c>
      <c r="E167" s="100">
        <v>19.46</v>
      </c>
      <c r="F167" s="101">
        <f t="shared" si="8"/>
        <v>13118.29736</v>
      </c>
      <c r="G167" s="102">
        <f t="shared" si="9"/>
        <v>3.7617406600008404E-4</v>
      </c>
      <c r="H167" s="102">
        <v>4.9331963001027747E-2</v>
      </c>
      <c r="I167" s="103">
        <f t="shared" si="10"/>
        <v>1.8557405105862317E-5</v>
      </c>
      <c r="J167" s="103">
        <v>3.2500000000000001E-2</v>
      </c>
      <c r="K167" s="103">
        <f t="shared" si="11"/>
        <v>1.2225657145002731E-5</v>
      </c>
    </row>
    <row r="168" spans="2:11" ht="15" customHeight="1">
      <c r="B168" s="98" t="s">
        <v>506</v>
      </c>
      <c r="C168" s="99" t="s">
        <v>507</v>
      </c>
      <c r="D168" s="100">
        <v>2755.86</v>
      </c>
      <c r="E168" s="100">
        <v>141.19999999999999</v>
      </c>
      <c r="F168" s="101">
        <f t="shared" si="8"/>
        <v>389127.43199999997</v>
      </c>
      <c r="G168" s="102">
        <f t="shared" si="9"/>
        <v>1.1158433466674458E-2</v>
      </c>
      <c r="H168" s="102">
        <v>1.1331444759206801E-2</v>
      </c>
      <c r="I168" s="103">
        <f t="shared" si="10"/>
        <v>1.2644117242690606E-4</v>
      </c>
      <c r="J168" s="103">
        <v>0.15060000000000001</v>
      </c>
      <c r="K168" s="103">
        <f t="shared" si="11"/>
        <v>1.6804600800811736E-3</v>
      </c>
    </row>
    <row r="169" spans="2:11" ht="15" customHeight="1">
      <c r="B169" s="98" t="s">
        <v>508</v>
      </c>
      <c r="C169" s="99" t="s">
        <v>509</v>
      </c>
      <c r="D169" s="100">
        <v>721.79100000000005</v>
      </c>
      <c r="E169" s="100">
        <v>49.93</v>
      </c>
      <c r="F169" s="101">
        <f t="shared" si="8"/>
        <v>36039.02463</v>
      </c>
      <c r="G169" s="102">
        <f t="shared" si="9"/>
        <v>1.0334379575112995E-3</v>
      </c>
      <c r="H169" s="102">
        <v>2.5635890246344883E-2</v>
      </c>
      <c r="I169" s="103">
        <f t="shared" si="10"/>
        <v>2.6493102055166501E-5</v>
      </c>
      <c r="J169" s="103">
        <v>3.1050000000000001E-2</v>
      </c>
      <c r="K169" s="103">
        <f t="shared" si="11"/>
        <v>3.208824858072585E-5</v>
      </c>
    </row>
    <row r="170" spans="2:11" ht="15" customHeight="1">
      <c r="B170" s="98" t="s">
        <v>510</v>
      </c>
      <c r="C170" s="99" t="s">
        <v>511</v>
      </c>
      <c r="D170" s="100">
        <v>241.703</v>
      </c>
      <c r="E170" s="100">
        <v>149.87</v>
      </c>
      <c r="F170" s="101">
        <f t="shared" si="8"/>
        <v>36224.028610000001</v>
      </c>
      <c r="G170" s="102">
        <f t="shared" si="9"/>
        <v>1.0387430437944481E-3</v>
      </c>
      <c r="H170" s="102">
        <v>1.3344898912390738E-2</v>
      </c>
      <c r="I170" s="103">
        <f t="shared" si="10"/>
        <v>1.3861920915385975E-5</v>
      </c>
      <c r="J170" s="103">
        <v>4.2950000000000002E-2</v>
      </c>
      <c r="K170" s="103">
        <f t="shared" si="11"/>
        <v>4.4614013730971543E-5</v>
      </c>
    </row>
    <row r="171" spans="2:11" ht="15" customHeight="1">
      <c r="B171" s="98" t="s">
        <v>512</v>
      </c>
      <c r="C171" s="99" t="s">
        <v>513</v>
      </c>
      <c r="D171" s="100">
        <v>950.40499999999997</v>
      </c>
      <c r="E171" s="100">
        <v>905.38</v>
      </c>
      <c r="F171" s="101">
        <f t="shared" si="8"/>
        <v>860477.67889999994</v>
      </c>
      <c r="G171" s="102" t="str">
        <f t="shared" si="9"/>
        <v/>
      </c>
      <c r="H171" s="102">
        <v>5.7434447414345356E-3</v>
      </c>
      <c r="I171" s="103" t="str">
        <f t="shared" si="10"/>
        <v/>
      </c>
      <c r="J171" s="103">
        <v>0.40012999999999999</v>
      </c>
      <c r="K171" s="103" t="str">
        <f t="shared" si="11"/>
        <v/>
      </c>
    </row>
    <row r="172" spans="2:11" ht="15" customHeight="1">
      <c r="B172" s="98" t="s">
        <v>514</v>
      </c>
      <c r="C172" s="99" t="s">
        <v>515</v>
      </c>
      <c r="D172" s="100">
        <v>223.23099999999999</v>
      </c>
      <c r="E172" s="100">
        <v>39.049999999999997</v>
      </c>
      <c r="F172" s="101">
        <f t="shared" si="8"/>
        <v>8717.1705499999989</v>
      </c>
      <c r="G172" s="102">
        <f t="shared" si="9"/>
        <v>2.4996944342857072E-4</v>
      </c>
      <c r="H172" s="102">
        <v>2.0486555697823306E-2</v>
      </c>
      <c r="I172" s="103">
        <f t="shared" si="10"/>
        <v>5.1210129255533064E-6</v>
      </c>
      <c r="J172" s="103">
        <v>0.1341</v>
      </c>
      <c r="K172" s="103">
        <f t="shared" si="11"/>
        <v>3.3520902363771335E-5</v>
      </c>
    </row>
    <row r="173" spans="2:11" ht="15" customHeight="1">
      <c r="B173" s="98" t="s">
        <v>516</v>
      </c>
      <c r="C173" s="99" t="s">
        <v>517</v>
      </c>
      <c r="D173" s="100">
        <v>144.386</v>
      </c>
      <c r="E173" s="100">
        <v>298.95999999999998</v>
      </c>
      <c r="F173" s="101">
        <f t="shared" si="8"/>
        <v>43165.638559999992</v>
      </c>
      <c r="G173" s="102">
        <f t="shared" si="9"/>
        <v>1.2377973545650142E-3</v>
      </c>
      <c r="H173" s="102" t="s">
        <v>243</v>
      </c>
      <c r="I173" s="103" t="str">
        <f t="shared" si="10"/>
        <v/>
      </c>
      <c r="J173" s="103">
        <v>0.05</v>
      </c>
      <c r="K173" s="103">
        <f t="shared" si="11"/>
        <v>6.1889867728250706E-5</v>
      </c>
    </row>
    <row r="174" spans="2:11" ht="15" customHeight="1">
      <c r="B174" s="98" t="s">
        <v>518</v>
      </c>
      <c r="C174" s="99" t="s">
        <v>519</v>
      </c>
      <c r="D174" s="100">
        <v>221.40600000000001</v>
      </c>
      <c r="E174" s="100">
        <v>74.739999999999995</v>
      </c>
      <c r="F174" s="101">
        <f t="shared" si="8"/>
        <v>16547.884439999998</v>
      </c>
      <c r="G174" s="102" t="str">
        <f t="shared" si="9"/>
        <v/>
      </c>
      <c r="H174" s="102">
        <v>3.3449290875033452E-3</v>
      </c>
      <c r="I174" s="103" t="str">
        <f t="shared" si="10"/>
        <v/>
      </c>
      <c r="J174" s="103" t="s">
        <v>243</v>
      </c>
      <c r="K174" s="103" t="str">
        <f t="shared" si="11"/>
        <v/>
      </c>
    </row>
    <row r="175" spans="2:11" ht="15" customHeight="1">
      <c r="B175" s="98" t="s">
        <v>520</v>
      </c>
      <c r="C175" s="99" t="s">
        <v>521</v>
      </c>
      <c r="D175" s="100">
        <v>569.83500000000004</v>
      </c>
      <c r="E175" s="100">
        <v>220.46</v>
      </c>
      <c r="F175" s="101">
        <f t="shared" si="8"/>
        <v>125625.82410000001</v>
      </c>
      <c r="G175" s="102">
        <f t="shared" si="9"/>
        <v>3.6023864796969622E-3</v>
      </c>
      <c r="H175" s="102">
        <v>2.0865463122561913E-2</v>
      </c>
      <c r="I175" s="103">
        <f t="shared" si="10"/>
        <v>7.516546224533259E-5</v>
      </c>
      <c r="J175" s="103">
        <v>4.0300000000000002E-2</v>
      </c>
      <c r="K175" s="103">
        <f t="shared" si="11"/>
        <v>1.4517617513178758E-4</v>
      </c>
    </row>
    <row r="176" spans="2:11" ht="15" customHeight="1">
      <c r="B176" s="98" t="s">
        <v>1252</v>
      </c>
      <c r="C176" s="99" t="s">
        <v>1253</v>
      </c>
      <c r="D176" s="100">
        <v>53.686</v>
      </c>
      <c r="E176" s="100">
        <v>365.48</v>
      </c>
      <c r="F176" s="101">
        <f t="shared" si="8"/>
        <v>19621.15928</v>
      </c>
      <c r="G176" s="102">
        <f t="shared" si="9"/>
        <v>5.6264704659758386E-4</v>
      </c>
      <c r="H176" s="102">
        <v>1.3352303819634452E-2</v>
      </c>
      <c r="I176" s="103">
        <f t="shared" si="10"/>
        <v>7.5126343093909622E-6</v>
      </c>
      <c r="J176" s="103">
        <v>0.18</v>
      </c>
      <c r="K176" s="103">
        <f t="shared" si="11"/>
        <v>1.0127646838756509E-4</v>
      </c>
    </row>
    <row r="177" spans="2:11" ht="15" customHeight="1">
      <c r="B177" s="98" t="s">
        <v>522</v>
      </c>
      <c r="C177" s="99" t="s">
        <v>523</v>
      </c>
      <c r="D177" s="100">
        <v>75.694999999999993</v>
      </c>
      <c r="E177" s="100">
        <v>201.2</v>
      </c>
      <c r="F177" s="101">
        <f t="shared" si="8"/>
        <v>15229.833999999997</v>
      </c>
      <c r="G177" s="102" t="str">
        <f t="shared" si="9"/>
        <v/>
      </c>
      <c r="H177" s="102">
        <v>1.371769383697813E-2</v>
      </c>
      <c r="I177" s="103" t="str">
        <f t="shared" si="10"/>
        <v/>
      </c>
      <c r="J177" s="103" t="s">
        <v>243</v>
      </c>
      <c r="K177" s="103" t="str">
        <f t="shared" si="11"/>
        <v/>
      </c>
    </row>
    <row r="178" spans="2:11" ht="15" customHeight="1">
      <c r="B178" s="98" t="s">
        <v>524</v>
      </c>
      <c r="C178" s="99" t="s">
        <v>525</v>
      </c>
      <c r="D178" s="100">
        <v>492.72399999999999</v>
      </c>
      <c r="E178" s="100">
        <v>210.72</v>
      </c>
      <c r="F178" s="101">
        <f t="shared" si="8"/>
        <v>103826.80128</v>
      </c>
      <c r="G178" s="102">
        <f t="shared" si="9"/>
        <v>2.9772880523635521E-3</v>
      </c>
      <c r="H178" s="102">
        <v>1.3477600607441154E-2</v>
      </c>
      <c r="I178" s="103">
        <f t="shared" si="10"/>
        <v>4.0126699263062298E-5</v>
      </c>
      <c r="J178" s="103">
        <v>8.1199999999999994E-2</v>
      </c>
      <c r="K178" s="103">
        <f t="shared" si="11"/>
        <v>2.4175578985192041E-4</v>
      </c>
    </row>
    <row r="179" spans="2:11" ht="15" customHeight="1">
      <c r="B179" s="98" t="s">
        <v>526</v>
      </c>
      <c r="C179" s="99" t="s">
        <v>527</v>
      </c>
      <c r="D179" s="100">
        <v>220.244</v>
      </c>
      <c r="E179" s="100">
        <v>66.67</v>
      </c>
      <c r="F179" s="101">
        <f t="shared" si="8"/>
        <v>14683.66748</v>
      </c>
      <c r="G179" s="102">
        <f t="shared" si="9"/>
        <v>4.2106187626050331E-4</v>
      </c>
      <c r="H179" s="102">
        <v>1.7399130043497822E-2</v>
      </c>
      <c r="I179" s="103">
        <f t="shared" si="10"/>
        <v>7.3261103414156858E-6</v>
      </c>
      <c r="J179" s="103">
        <v>8.6349999999999996E-2</v>
      </c>
      <c r="K179" s="103">
        <f t="shared" si="11"/>
        <v>3.6358693015094461E-5</v>
      </c>
    </row>
    <row r="180" spans="2:11" ht="15" customHeight="1">
      <c r="B180" s="98" t="s">
        <v>528</v>
      </c>
      <c r="C180" s="99" t="s">
        <v>529</v>
      </c>
      <c r="D180" s="100">
        <v>320.25700000000001</v>
      </c>
      <c r="E180" s="100">
        <v>446</v>
      </c>
      <c r="F180" s="101">
        <f t="shared" si="8"/>
        <v>142834.622</v>
      </c>
      <c r="G180" s="102">
        <f t="shared" si="9"/>
        <v>4.0958577968478868E-3</v>
      </c>
      <c r="H180" s="102">
        <v>8.1614349775784752E-3</v>
      </c>
      <c r="I180" s="103">
        <f t="shared" si="10"/>
        <v>3.3428077086381853E-5</v>
      </c>
      <c r="J180" s="103">
        <v>0.13109999999999999</v>
      </c>
      <c r="K180" s="103">
        <f t="shared" si="11"/>
        <v>5.369669571667579E-4</v>
      </c>
    </row>
    <row r="181" spans="2:11" ht="15" customHeight="1">
      <c r="B181" s="98" t="s">
        <v>530</v>
      </c>
      <c r="C181" s="99" t="s">
        <v>531</v>
      </c>
      <c r="D181" s="100">
        <v>1282.27</v>
      </c>
      <c r="E181" s="100">
        <v>78.709999999999994</v>
      </c>
      <c r="F181" s="101">
        <f t="shared" si="8"/>
        <v>100927.47169999999</v>
      </c>
      <c r="G181" s="102">
        <f t="shared" si="9"/>
        <v>2.8941482540457836E-3</v>
      </c>
      <c r="H181" s="102">
        <v>3.5573624698259435E-2</v>
      </c>
      <c r="I181" s="103">
        <f t="shared" si="10"/>
        <v>1.029553438105475E-4</v>
      </c>
      <c r="J181" s="103">
        <v>5.6050000000000003E-2</v>
      </c>
      <c r="K181" s="103">
        <f t="shared" si="11"/>
        <v>1.6221700963926617E-4</v>
      </c>
    </row>
    <row r="182" spans="2:11" ht="15" customHeight="1">
      <c r="B182" s="98" t="s">
        <v>532</v>
      </c>
      <c r="C182" s="99" t="s">
        <v>533</v>
      </c>
      <c r="D182" s="100">
        <v>1190.6759999999999</v>
      </c>
      <c r="E182" s="100">
        <v>10.63</v>
      </c>
      <c r="F182" s="101">
        <f t="shared" si="8"/>
        <v>12656.88588</v>
      </c>
      <c r="G182" s="102" t="str">
        <f t="shared" si="9"/>
        <v/>
      </c>
      <c r="H182" s="102">
        <v>4.5155221072436497E-2</v>
      </c>
      <c r="I182" s="103" t="str">
        <f t="shared" si="10"/>
        <v/>
      </c>
      <c r="J182" s="103">
        <v>-2.5699999999999997E-2</v>
      </c>
      <c r="K182" s="103" t="str">
        <f t="shared" si="11"/>
        <v/>
      </c>
    </row>
    <row r="183" spans="2:11" ht="15" customHeight="1">
      <c r="B183" s="98" t="s">
        <v>534</v>
      </c>
      <c r="C183" s="99" t="s">
        <v>535</v>
      </c>
      <c r="D183" s="100">
        <v>1255.373</v>
      </c>
      <c r="E183" s="100">
        <v>59.06</v>
      </c>
      <c r="F183" s="101">
        <f t="shared" si="8"/>
        <v>74142.32938000001</v>
      </c>
      <c r="G183" s="102">
        <f t="shared" si="9"/>
        <v>2.126070231540482E-3</v>
      </c>
      <c r="H183" s="102">
        <v>4.5038943447341689E-2</v>
      </c>
      <c r="I183" s="103">
        <f t="shared" si="10"/>
        <v>9.5755956923428416E-5</v>
      </c>
      <c r="J183" s="103">
        <v>4.0099999999999997E-2</v>
      </c>
      <c r="K183" s="103">
        <f t="shared" si="11"/>
        <v>8.5255416284773318E-5</v>
      </c>
    </row>
    <row r="184" spans="2:11" ht="15" customHeight="1">
      <c r="B184" s="98" t="s">
        <v>536</v>
      </c>
      <c r="C184" s="99" t="s">
        <v>537</v>
      </c>
      <c r="D184" s="100">
        <v>418.10399999999998</v>
      </c>
      <c r="E184" s="100">
        <v>80.489999999999995</v>
      </c>
      <c r="F184" s="101">
        <f t="shared" si="8"/>
        <v>33653.19096</v>
      </c>
      <c r="G184" s="102">
        <f t="shared" si="9"/>
        <v>9.6502292408017735E-4</v>
      </c>
      <c r="H184" s="102">
        <v>1.8884333457572372E-2</v>
      </c>
      <c r="I184" s="103">
        <f t="shared" si="10"/>
        <v>1.8223814692531615E-5</v>
      </c>
      <c r="J184" s="103">
        <v>1.0249999999999999E-2</v>
      </c>
      <c r="K184" s="103">
        <f t="shared" si="11"/>
        <v>9.8914849718218167E-6</v>
      </c>
    </row>
    <row r="185" spans="2:11" ht="15" customHeight="1">
      <c r="B185" s="98" t="s">
        <v>538</v>
      </c>
      <c r="C185" s="99" t="s">
        <v>539</v>
      </c>
      <c r="D185" s="100">
        <v>1108.8409999999999</v>
      </c>
      <c r="E185" s="100">
        <v>131.53</v>
      </c>
      <c r="F185" s="101">
        <f t="shared" si="8"/>
        <v>145845.85673</v>
      </c>
      <c r="G185" s="102" t="str">
        <f t="shared" si="9"/>
        <v/>
      </c>
      <c r="H185" s="102">
        <v>3.497300995970501E-3</v>
      </c>
      <c r="I185" s="103" t="str">
        <f t="shared" si="10"/>
        <v/>
      </c>
      <c r="J185" s="103">
        <v>0.31940000000000002</v>
      </c>
      <c r="K185" s="103" t="str">
        <f t="shared" si="11"/>
        <v/>
      </c>
    </row>
    <row r="186" spans="2:11" ht="15" customHeight="1">
      <c r="B186" s="98" t="s">
        <v>540</v>
      </c>
      <c r="C186" s="99" t="s">
        <v>541</v>
      </c>
      <c r="D186" s="100">
        <v>166.78700000000001</v>
      </c>
      <c r="E186" s="100">
        <v>386.05</v>
      </c>
      <c r="F186" s="101">
        <f t="shared" si="8"/>
        <v>64388.121350000001</v>
      </c>
      <c r="G186" s="102">
        <f t="shared" si="9"/>
        <v>1.8463631937625418E-3</v>
      </c>
      <c r="H186" s="102">
        <v>1.0154125113327288E-2</v>
      </c>
      <c r="I186" s="103">
        <f t="shared" si="10"/>
        <v>1.8748202874107403E-5</v>
      </c>
      <c r="J186" s="103">
        <v>8.8900000000000007E-2</v>
      </c>
      <c r="K186" s="103">
        <f t="shared" si="11"/>
        <v>1.6414168792548998E-4</v>
      </c>
    </row>
    <row r="187" spans="2:11" ht="15" customHeight="1">
      <c r="B187" s="98" t="s">
        <v>542</v>
      </c>
      <c r="C187" s="99" t="s">
        <v>543</v>
      </c>
      <c r="D187" s="100">
        <v>105.154</v>
      </c>
      <c r="E187" s="100">
        <v>170.06</v>
      </c>
      <c r="F187" s="101">
        <f t="shared" si="8"/>
        <v>17882.489239999999</v>
      </c>
      <c r="G187" s="102">
        <f t="shared" si="9"/>
        <v>5.1278977012101756E-4</v>
      </c>
      <c r="H187" s="102">
        <v>1.2936610608020699E-2</v>
      </c>
      <c r="I187" s="103">
        <f t="shared" si="10"/>
        <v>6.6337615798320519E-6</v>
      </c>
      <c r="J187" s="103">
        <v>0.14279999999999998</v>
      </c>
      <c r="K187" s="103">
        <f t="shared" si="11"/>
        <v>7.3226379173281294E-5</v>
      </c>
    </row>
    <row r="188" spans="2:11" ht="15" customHeight="1">
      <c r="B188" s="98" t="s">
        <v>545</v>
      </c>
      <c r="C188" s="99" t="s">
        <v>546</v>
      </c>
      <c r="D188" s="100">
        <v>1153.163</v>
      </c>
      <c r="E188" s="100">
        <v>41.87</v>
      </c>
      <c r="F188" s="101">
        <f t="shared" si="8"/>
        <v>48282.934809999999</v>
      </c>
      <c r="G188" s="102" t="str">
        <f t="shared" si="9"/>
        <v/>
      </c>
      <c r="H188" s="102">
        <v>2.388344877000239E-2</v>
      </c>
      <c r="I188" s="103" t="str">
        <f t="shared" si="10"/>
        <v/>
      </c>
      <c r="J188" s="103">
        <v>0.47889999999999999</v>
      </c>
      <c r="K188" s="103" t="str">
        <f t="shared" si="11"/>
        <v/>
      </c>
    </row>
    <row r="189" spans="2:11" ht="15" customHeight="1">
      <c r="B189" s="98" t="s">
        <v>547</v>
      </c>
      <c r="C189" s="99" t="s">
        <v>548</v>
      </c>
      <c r="D189" s="100">
        <v>1211.462</v>
      </c>
      <c r="E189" s="100">
        <v>75.37</v>
      </c>
      <c r="F189" s="101">
        <f t="shared" si="8"/>
        <v>91307.890939999997</v>
      </c>
      <c r="G189" s="102">
        <f t="shared" si="9"/>
        <v>2.6183017239359203E-3</v>
      </c>
      <c r="H189" s="102">
        <v>1.9636460130025207E-2</v>
      </c>
      <c r="I189" s="103">
        <f t="shared" si="10"/>
        <v>5.1414177410443967E-5</v>
      </c>
      <c r="J189" s="103">
        <v>4.4600000000000001E-2</v>
      </c>
      <c r="K189" s="103">
        <f t="shared" si="11"/>
        <v>1.1677625688754205E-4</v>
      </c>
    </row>
    <row r="190" spans="2:11" ht="15" customHeight="1">
      <c r="B190" s="98" t="s">
        <v>549</v>
      </c>
      <c r="C190" s="99" t="s">
        <v>550</v>
      </c>
      <c r="D190" s="100">
        <v>448.30500000000001</v>
      </c>
      <c r="E190" s="100">
        <v>28.81</v>
      </c>
      <c r="F190" s="101">
        <f t="shared" si="8"/>
        <v>12915.66705</v>
      </c>
      <c r="G190" s="102">
        <f t="shared" si="9"/>
        <v>3.7036353544754613E-4</v>
      </c>
      <c r="H190" s="102">
        <v>3.6792780284623398E-2</v>
      </c>
      <c r="I190" s="103">
        <f t="shared" si="10"/>
        <v>1.3626704185157894E-5</v>
      </c>
      <c r="J190" s="103">
        <v>7.0000000000000007E-2</v>
      </c>
      <c r="K190" s="103">
        <f t="shared" si="11"/>
        <v>2.592544748132823E-5</v>
      </c>
    </row>
    <row r="191" spans="2:11" ht="15" customHeight="1">
      <c r="B191" s="98" t="s">
        <v>551</v>
      </c>
      <c r="C191" s="99" t="s">
        <v>552</v>
      </c>
      <c r="D191" s="100">
        <v>225.91399999999999</v>
      </c>
      <c r="E191" s="100">
        <v>214.69</v>
      </c>
      <c r="F191" s="101">
        <f t="shared" si="8"/>
        <v>48501.47666</v>
      </c>
      <c r="G191" s="102">
        <f t="shared" si="9"/>
        <v>1.390805314250048E-3</v>
      </c>
      <c r="H191" s="102">
        <v>2.5152545530765291E-2</v>
      </c>
      <c r="I191" s="103">
        <f t="shared" si="10"/>
        <v>3.4982293991104659E-5</v>
      </c>
      <c r="J191" s="103">
        <v>9.4200000000000006E-2</v>
      </c>
      <c r="K191" s="103">
        <f t="shared" si="11"/>
        <v>1.3101386060235454E-4</v>
      </c>
    </row>
    <row r="192" spans="2:11" ht="15" customHeight="1">
      <c r="B192" s="98" t="s">
        <v>553</v>
      </c>
      <c r="C192" s="99" t="s">
        <v>554</v>
      </c>
      <c r="D192" s="100">
        <v>234.38399999999999</v>
      </c>
      <c r="E192" s="100">
        <v>78.45</v>
      </c>
      <c r="F192" s="101">
        <f t="shared" si="8"/>
        <v>18387.424800000001</v>
      </c>
      <c r="G192" s="102">
        <f t="shared" si="9"/>
        <v>5.2726906247586251E-4</v>
      </c>
      <c r="H192" s="102">
        <v>3.6201402166985336E-2</v>
      </c>
      <c r="I192" s="103">
        <f t="shared" si="10"/>
        <v>1.9087879380898014E-5</v>
      </c>
      <c r="J192" s="103">
        <v>0.124</v>
      </c>
      <c r="K192" s="103">
        <f t="shared" si="11"/>
        <v>6.5381363747006951E-5</v>
      </c>
    </row>
    <row r="193" spans="2:11" ht="15" customHeight="1">
      <c r="B193" s="98" t="s">
        <v>23</v>
      </c>
      <c r="C193" s="99" t="s">
        <v>24</v>
      </c>
      <c r="D193" s="100">
        <v>350.72699999999998</v>
      </c>
      <c r="E193" s="100">
        <v>56.71</v>
      </c>
      <c r="F193" s="101">
        <f t="shared" si="8"/>
        <v>19889.728169999998</v>
      </c>
      <c r="G193" s="102">
        <f t="shared" si="9"/>
        <v>5.7034840055991156E-4</v>
      </c>
      <c r="H193" s="102">
        <v>5.0432022570975135E-2</v>
      </c>
      <c r="I193" s="103">
        <f t="shared" si="10"/>
        <v>2.8763823410357028E-5</v>
      </c>
      <c r="J193" s="103">
        <v>5.2300000000000006E-2</v>
      </c>
      <c r="K193" s="103">
        <f t="shared" si="11"/>
        <v>2.9829221349283377E-5</v>
      </c>
    </row>
    <row r="194" spans="2:11" ht="15" customHeight="1">
      <c r="B194" s="98" t="s">
        <v>555</v>
      </c>
      <c r="C194" s="99" t="s">
        <v>556</v>
      </c>
      <c r="D194" s="100">
        <v>147.99</v>
      </c>
      <c r="E194" s="100">
        <v>435.95</v>
      </c>
      <c r="F194" s="101">
        <f t="shared" si="8"/>
        <v>64516.2405</v>
      </c>
      <c r="G194" s="102">
        <f t="shared" si="9"/>
        <v>1.8500370776718157E-3</v>
      </c>
      <c r="H194" s="102">
        <v>1.8901250143365064E-2</v>
      </c>
      <c r="I194" s="103">
        <f t="shared" si="10"/>
        <v>3.4968013579575095E-5</v>
      </c>
      <c r="J194" s="103">
        <v>0.18340000000000001</v>
      </c>
      <c r="K194" s="103">
        <f t="shared" si="11"/>
        <v>3.3929680004501103E-4</v>
      </c>
    </row>
    <row r="195" spans="2:11" ht="15" customHeight="1">
      <c r="B195" s="98" t="s">
        <v>557</v>
      </c>
      <c r="C195" s="99" t="s">
        <v>558</v>
      </c>
      <c r="D195" s="100">
        <v>3486.3150000000001</v>
      </c>
      <c r="E195" s="100">
        <v>59.39</v>
      </c>
      <c r="F195" s="101">
        <f t="shared" si="8"/>
        <v>207052.24785000001</v>
      </c>
      <c r="G195" s="102">
        <f t="shared" si="9"/>
        <v>5.9373319426105509E-3</v>
      </c>
      <c r="H195" s="102">
        <v>2.3572992086209797E-2</v>
      </c>
      <c r="I195" s="103">
        <f t="shared" si="10"/>
        <v>1.3996067889635917E-4</v>
      </c>
      <c r="J195" s="103">
        <v>8.7899999999999992E-2</v>
      </c>
      <c r="K195" s="103">
        <f t="shared" si="11"/>
        <v>5.2189147775546737E-4</v>
      </c>
    </row>
    <row r="196" spans="2:11" ht="15" customHeight="1">
      <c r="B196" s="98" t="s">
        <v>559</v>
      </c>
      <c r="C196" s="99" t="s">
        <v>560</v>
      </c>
      <c r="D196" s="100">
        <v>239.762</v>
      </c>
      <c r="E196" s="100">
        <v>158.08000000000001</v>
      </c>
      <c r="F196" s="101">
        <f t="shared" si="8"/>
        <v>37901.576960000006</v>
      </c>
      <c r="G196" s="102" t="str">
        <f t="shared" si="9"/>
        <v/>
      </c>
      <c r="H196" s="102">
        <v>1.3663967611336033E-2</v>
      </c>
      <c r="I196" s="103" t="str">
        <f t="shared" si="10"/>
        <v/>
      </c>
      <c r="J196" s="103">
        <v>-1.29E-2</v>
      </c>
      <c r="K196" s="103" t="str">
        <f t="shared" si="11"/>
        <v/>
      </c>
    </row>
    <row r="197" spans="2:11" ht="15" customHeight="1">
      <c r="B197" s="98" t="s">
        <v>561</v>
      </c>
      <c r="C197" s="99" t="s">
        <v>562</v>
      </c>
      <c r="D197" s="100">
        <v>886.63699999999994</v>
      </c>
      <c r="E197" s="100">
        <v>63.03</v>
      </c>
      <c r="F197" s="101">
        <f t="shared" si="8"/>
        <v>55884.730109999997</v>
      </c>
      <c r="G197" s="102">
        <f t="shared" si="9"/>
        <v>1.602523984316515E-3</v>
      </c>
      <c r="H197" s="102">
        <v>1.3961605584642234E-2</v>
      </c>
      <c r="I197" s="103">
        <f t="shared" si="10"/>
        <v>2.2373807808956582E-5</v>
      </c>
      <c r="J197" s="103">
        <v>0.2</v>
      </c>
      <c r="K197" s="103">
        <f t="shared" si="11"/>
        <v>3.2050479686330304E-4</v>
      </c>
    </row>
    <row r="198" spans="2:11" ht="15" customHeight="1">
      <c r="B198" s="98" t="s">
        <v>563</v>
      </c>
      <c r="C198" s="99" t="s">
        <v>564</v>
      </c>
      <c r="D198" s="100">
        <v>195.834</v>
      </c>
      <c r="E198" s="100">
        <v>89.7</v>
      </c>
      <c r="F198" s="101">
        <f t="shared" si="8"/>
        <v>17566.309799999999</v>
      </c>
      <c r="G198" s="102">
        <f t="shared" si="9"/>
        <v>5.0372315863429415E-4</v>
      </c>
      <c r="H198" s="102">
        <v>3.1215161649944256E-2</v>
      </c>
      <c r="I198" s="103">
        <f t="shared" si="10"/>
        <v>1.5723799823590007E-5</v>
      </c>
      <c r="J198" s="103">
        <v>7.4749999999999997E-2</v>
      </c>
      <c r="K198" s="103">
        <f t="shared" si="11"/>
        <v>3.7653306107913485E-5</v>
      </c>
    </row>
    <row r="199" spans="2:11" ht="15" customHeight="1">
      <c r="B199" s="98" t="s">
        <v>565</v>
      </c>
      <c r="C199" s="99" t="s">
        <v>566</v>
      </c>
      <c r="D199" s="100">
        <v>583.64700000000005</v>
      </c>
      <c r="E199" s="100">
        <v>81.55</v>
      </c>
      <c r="F199" s="101">
        <f t="shared" si="8"/>
        <v>47596.412850000001</v>
      </c>
      <c r="G199" s="102">
        <f t="shared" si="9"/>
        <v>1.3648521341951916E-3</v>
      </c>
      <c r="H199" s="102">
        <v>4.8559166155732678E-2</v>
      </c>
      <c r="I199" s="103">
        <f t="shared" si="10"/>
        <v>6.6276081562390658E-5</v>
      </c>
      <c r="J199" s="103">
        <v>2.5499999999999998E-2</v>
      </c>
      <c r="K199" s="103">
        <f t="shared" si="11"/>
        <v>3.480372942197738E-5</v>
      </c>
    </row>
    <row r="200" spans="2:11" ht="15" customHeight="1">
      <c r="B200" s="98" t="s">
        <v>567</v>
      </c>
      <c r="C200" s="99" t="s">
        <v>568</v>
      </c>
      <c r="D200" s="100">
        <v>207.27699999999999</v>
      </c>
      <c r="E200" s="100">
        <v>123.1601</v>
      </c>
      <c r="F200" s="101">
        <f t="shared" si="8"/>
        <v>25528.256047699997</v>
      </c>
      <c r="G200" s="102">
        <f t="shared" si="9"/>
        <v>7.3203614858098804E-4</v>
      </c>
      <c r="H200" s="102">
        <v>1.4615122917243491E-2</v>
      </c>
      <c r="I200" s="103">
        <f t="shared" si="10"/>
        <v>1.069879829137666E-5</v>
      </c>
      <c r="J200" s="103">
        <v>0.15380000000000002</v>
      </c>
      <c r="K200" s="103">
        <f t="shared" si="11"/>
        <v>1.1258715965175598E-4</v>
      </c>
    </row>
    <row r="201" spans="2:11" ht="15" customHeight="1">
      <c r="B201" s="98" t="s">
        <v>569</v>
      </c>
      <c r="C201" s="99" t="s">
        <v>570</v>
      </c>
      <c r="D201" s="100">
        <v>2133.5079999999998</v>
      </c>
      <c r="E201" s="100">
        <v>17.46</v>
      </c>
      <c r="F201" s="101">
        <f t="shared" si="8"/>
        <v>37251.049679999996</v>
      </c>
      <c r="G201" s="102">
        <f t="shared" si="9"/>
        <v>1.0681934123268515E-3</v>
      </c>
      <c r="H201" s="102">
        <v>2.2909507445589921E-3</v>
      </c>
      <c r="I201" s="103">
        <f t="shared" si="10"/>
        <v>2.447178493303211E-6</v>
      </c>
      <c r="J201" s="103">
        <v>9.9499999999999991E-2</v>
      </c>
      <c r="K201" s="103">
        <f t="shared" si="11"/>
        <v>1.0628524452652171E-4</v>
      </c>
    </row>
    <row r="202" spans="2:11" ht="15" customHeight="1">
      <c r="B202" s="98" t="s">
        <v>571</v>
      </c>
      <c r="C202" s="99" t="s">
        <v>572</v>
      </c>
      <c r="D202" s="100">
        <v>128.541</v>
      </c>
      <c r="E202" s="100">
        <v>505.81</v>
      </c>
      <c r="F202" s="101">
        <f t="shared" si="8"/>
        <v>65017.323210000002</v>
      </c>
      <c r="G202" s="102">
        <f t="shared" si="9"/>
        <v>1.8644058875295487E-3</v>
      </c>
      <c r="H202" s="102">
        <v>1.2890215693639904E-2</v>
      </c>
      <c r="I202" s="103">
        <f t="shared" si="10"/>
        <v>2.4032594030748022E-5</v>
      </c>
      <c r="J202" s="103">
        <v>0.1384</v>
      </c>
      <c r="K202" s="103">
        <f t="shared" si="11"/>
        <v>2.5803377483408954E-4</v>
      </c>
    </row>
    <row r="203" spans="2:11" ht="15" customHeight="1">
      <c r="B203" s="98" t="s">
        <v>573</v>
      </c>
      <c r="C203" s="99" t="s">
        <v>574</v>
      </c>
      <c r="D203" s="100">
        <v>484.23</v>
      </c>
      <c r="E203" s="100">
        <v>48.79</v>
      </c>
      <c r="F203" s="101">
        <f t="shared" si="8"/>
        <v>23625.581699999999</v>
      </c>
      <c r="G203" s="102">
        <f t="shared" si="9"/>
        <v>6.774759624526591E-4</v>
      </c>
      <c r="H203" s="102">
        <v>1.2297601967616315E-2</v>
      </c>
      <c r="I203" s="103">
        <f t="shared" si="10"/>
        <v>8.3313297288705775E-6</v>
      </c>
      <c r="J203" s="103">
        <v>0.13039999999999999</v>
      </c>
      <c r="K203" s="103">
        <f t="shared" si="11"/>
        <v>8.8342865503826746E-5</v>
      </c>
    </row>
    <row r="204" spans="2:11" ht="15" customHeight="1">
      <c r="B204" s="98" t="s">
        <v>575</v>
      </c>
      <c r="C204" s="99" t="s">
        <v>576</v>
      </c>
      <c r="D204" s="100">
        <v>737.12400000000002</v>
      </c>
      <c r="E204" s="100">
        <v>27.65</v>
      </c>
      <c r="F204" s="101">
        <f t="shared" si="8"/>
        <v>20381.478599999999</v>
      </c>
      <c r="G204" s="102">
        <f t="shared" si="9"/>
        <v>5.8444960238770646E-4</v>
      </c>
      <c r="H204" s="102">
        <v>3.7251356238698012E-2</v>
      </c>
      <c r="I204" s="103">
        <f t="shared" si="10"/>
        <v>2.1771540342109861E-5</v>
      </c>
      <c r="J204" s="103">
        <v>7.6730000000000007E-2</v>
      </c>
      <c r="K204" s="103">
        <f t="shared" si="11"/>
        <v>4.4844817991208724E-5</v>
      </c>
    </row>
    <row r="205" spans="2:11" ht="15" customHeight="1">
      <c r="B205" s="98" t="s">
        <v>577</v>
      </c>
      <c r="C205" s="99" t="s">
        <v>578</v>
      </c>
      <c r="D205" s="100">
        <v>1169.5340000000001</v>
      </c>
      <c r="E205" s="100">
        <v>114.38</v>
      </c>
      <c r="F205" s="101">
        <f t="shared" si="8"/>
        <v>133771.29892</v>
      </c>
      <c r="G205" s="102">
        <f t="shared" si="9"/>
        <v>3.8359622478361818E-3</v>
      </c>
      <c r="H205" s="102">
        <v>2.7277496065745761E-2</v>
      </c>
      <c r="I205" s="103">
        <f t="shared" si="10"/>
        <v>1.0463544512370072E-4</v>
      </c>
      <c r="J205" s="103">
        <v>0.09</v>
      </c>
      <c r="K205" s="103">
        <f t="shared" si="11"/>
        <v>3.4523660230525636E-4</v>
      </c>
    </row>
    <row r="206" spans="2:11" ht="15" customHeight="1">
      <c r="B206" s="98" t="s">
        <v>579</v>
      </c>
      <c r="C206" s="99" t="s">
        <v>580</v>
      </c>
      <c r="D206" s="100">
        <v>210.34200000000001</v>
      </c>
      <c r="E206" s="100">
        <v>110.1</v>
      </c>
      <c r="F206" s="101">
        <f t="shared" si="8"/>
        <v>23158.654200000001</v>
      </c>
      <c r="G206" s="102">
        <f t="shared" si="9"/>
        <v>6.6408657117861855E-4</v>
      </c>
      <c r="H206" s="102">
        <v>7.2661217075386019E-3</v>
      </c>
      <c r="I206" s="103">
        <f t="shared" si="10"/>
        <v>4.8253338505258389E-6</v>
      </c>
      <c r="J206" s="103">
        <v>7.644999999999999E-2</v>
      </c>
      <c r="K206" s="103">
        <f t="shared" si="11"/>
        <v>5.0769418366605378E-5</v>
      </c>
    </row>
    <row r="207" spans="2:11" ht="15" customHeight="1">
      <c r="B207" s="98" t="s">
        <v>581</v>
      </c>
      <c r="C207" s="99" t="s">
        <v>582</v>
      </c>
      <c r="D207" s="100">
        <v>113.557</v>
      </c>
      <c r="E207" s="100">
        <v>76.38</v>
      </c>
      <c r="F207" s="101">
        <f t="shared" si="8"/>
        <v>8673.4836599999999</v>
      </c>
      <c r="G207" s="102">
        <f t="shared" si="9"/>
        <v>2.4871669891522345E-4</v>
      </c>
      <c r="H207" s="102">
        <v>4.6085362660382302E-2</v>
      </c>
      <c r="I207" s="103">
        <f t="shared" si="10"/>
        <v>1.1462199269201186E-5</v>
      </c>
      <c r="J207" s="103">
        <v>6.6729999999999998E-2</v>
      </c>
      <c r="K207" s="103">
        <f t="shared" si="11"/>
        <v>1.6596865318612861E-5</v>
      </c>
    </row>
    <row r="208" spans="2:11" ht="15" customHeight="1">
      <c r="B208" s="98" t="s">
        <v>583</v>
      </c>
      <c r="C208" s="99" t="s">
        <v>584</v>
      </c>
      <c r="D208" s="100">
        <v>397.90699999999998</v>
      </c>
      <c r="E208" s="100">
        <v>155.47999999999999</v>
      </c>
      <c r="F208" s="101">
        <f t="shared" ref="F208:F271" si="12">D208*E208</f>
        <v>61866.580359999993</v>
      </c>
      <c r="G208" s="102" t="str">
        <f t="shared" ref="G208:G271" si="13">IF(AND(ISNUMBER($J208)), IF(AND($J208&lt;=20%,$J208&gt;0%), $F208/SUMIFS($F$15:$F$517,$J$15:$J$517, "&gt;"&amp;0%,$J$15:$J$517, "&lt;="&amp;20%),""),"")</f>
        <v/>
      </c>
      <c r="H208" s="102">
        <v>3.9876511448417806E-2</v>
      </c>
      <c r="I208" s="103" t="str">
        <f t="shared" ref="I208:I271" si="14">IFERROR(G208*H208,"")</f>
        <v/>
      </c>
      <c r="J208" s="103">
        <v>0.31</v>
      </c>
      <c r="K208" s="103" t="str">
        <f t="shared" ref="K208:K271" si="15">IFERROR(G208*J208,"")</f>
        <v/>
      </c>
    </row>
    <row r="209" spans="2:11" ht="15" customHeight="1">
      <c r="B209" s="98" t="s">
        <v>585</v>
      </c>
      <c r="C209" s="99" t="s">
        <v>586</v>
      </c>
      <c r="D209" s="100">
        <v>235.36099999999999</v>
      </c>
      <c r="E209" s="100">
        <v>125.89</v>
      </c>
      <c r="F209" s="101">
        <f t="shared" si="12"/>
        <v>29629.596289999998</v>
      </c>
      <c r="G209" s="102">
        <f t="shared" si="13"/>
        <v>8.4964423388785753E-4</v>
      </c>
      <c r="H209" s="102">
        <v>2.0652950988958616E-2</v>
      </c>
      <c r="I209" s="103">
        <f t="shared" si="14"/>
        <v>1.7547660720537212E-5</v>
      </c>
      <c r="J209" s="103">
        <v>8.0299999999999996E-2</v>
      </c>
      <c r="K209" s="103">
        <f t="shared" si="15"/>
        <v>6.8226431981194963E-5</v>
      </c>
    </row>
    <row r="210" spans="2:11" ht="15" customHeight="1">
      <c r="B210" s="98" t="s">
        <v>587</v>
      </c>
      <c r="C210" s="99" t="s">
        <v>588</v>
      </c>
      <c r="D210" s="100">
        <v>585.69799999999998</v>
      </c>
      <c r="E210" s="100">
        <v>207.71</v>
      </c>
      <c r="F210" s="101">
        <f t="shared" si="12"/>
        <v>121655.33158</v>
      </c>
      <c r="G210" s="102" t="str">
        <f t="shared" si="13"/>
        <v/>
      </c>
      <c r="H210" s="102">
        <v>1.9257618795435944E-3</v>
      </c>
      <c r="I210" s="103" t="str">
        <f t="shared" si="14"/>
        <v/>
      </c>
      <c r="J210" s="103">
        <v>0.33409999999999995</v>
      </c>
      <c r="K210" s="103" t="str">
        <f t="shared" si="15"/>
        <v/>
      </c>
    </row>
    <row r="211" spans="2:11" ht="15" customHeight="1">
      <c r="B211" s="98" t="s">
        <v>1254</v>
      </c>
      <c r="C211" s="99" t="s">
        <v>1255</v>
      </c>
      <c r="D211" s="100">
        <v>246.84700000000001</v>
      </c>
      <c r="E211" s="100">
        <v>95.47</v>
      </c>
      <c r="F211" s="101">
        <f t="shared" si="12"/>
        <v>23566.483090000002</v>
      </c>
      <c r="G211" s="102" t="str">
        <f t="shared" si="13"/>
        <v/>
      </c>
      <c r="H211" s="102">
        <v>3.7708180580286999E-3</v>
      </c>
      <c r="I211" s="103" t="str">
        <f t="shared" si="14"/>
        <v/>
      </c>
      <c r="J211" s="103" t="s">
        <v>243</v>
      </c>
      <c r="K211" s="103" t="str">
        <f t="shared" si="15"/>
        <v/>
      </c>
    </row>
    <row r="212" spans="2:11" ht="15" customHeight="1">
      <c r="B212" s="98" t="s">
        <v>589</v>
      </c>
      <c r="C212" s="99" t="s">
        <v>590</v>
      </c>
      <c r="D212" s="100">
        <v>498.58699999999999</v>
      </c>
      <c r="E212" s="100">
        <v>73.7</v>
      </c>
      <c r="F212" s="101">
        <f t="shared" si="12"/>
        <v>36745.861900000004</v>
      </c>
      <c r="G212" s="102">
        <f t="shared" si="13"/>
        <v>1.0537068874310511E-3</v>
      </c>
      <c r="H212" s="102">
        <v>3.2564450474898234E-2</v>
      </c>
      <c r="I212" s="103">
        <f t="shared" si="14"/>
        <v>3.4313385750807634E-5</v>
      </c>
      <c r="J212" s="103">
        <v>6.275E-2</v>
      </c>
      <c r="K212" s="103">
        <f t="shared" si="15"/>
        <v>6.6120107186298463E-5</v>
      </c>
    </row>
    <row r="213" spans="2:11" ht="15" customHeight="1">
      <c r="B213" s="98" t="s">
        <v>1021</v>
      </c>
      <c r="C213" s="99" t="s">
        <v>1022</v>
      </c>
      <c r="D213" s="100">
        <v>199.12</v>
      </c>
      <c r="E213" s="100">
        <v>87.3</v>
      </c>
      <c r="F213" s="101">
        <f t="shared" si="12"/>
        <v>17383.175999999999</v>
      </c>
      <c r="G213" s="102">
        <f t="shared" si="13"/>
        <v>4.9847170074478902E-4</v>
      </c>
      <c r="H213" s="102" t="s">
        <v>243</v>
      </c>
      <c r="I213" s="103" t="str">
        <f t="shared" si="14"/>
        <v/>
      </c>
      <c r="J213" s="103">
        <v>0.1</v>
      </c>
      <c r="K213" s="103">
        <f t="shared" si="15"/>
        <v>4.9847170074478906E-5</v>
      </c>
    </row>
    <row r="214" spans="2:11" ht="15" customHeight="1">
      <c r="B214" s="98" t="s">
        <v>20</v>
      </c>
      <c r="C214" s="99" t="s">
        <v>21</v>
      </c>
      <c r="D214" s="100">
        <v>383.92500000000001</v>
      </c>
      <c r="E214" s="100">
        <v>71.81</v>
      </c>
      <c r="F214" s="101">
        <f t="shared" si="12"/>
        <v>27569.654250000003</v>
      </c>
      <c r="G214" s="102">
        <f t="shared" si="13"/>
        <v>7.9057431409216043E-4</v>
      </c>
      <c r="H214" s="102">
        <v>4.3447987745439356E-2</v>
      </c>
      <c r="I214" s="103">
        <f t="shared" si="14"/>
        <v>3.4348863110535311E-5</v>
      </c>
      <c r="J214" s="103">
        <v>7.2999999999999995E-2</v>
      </c>
      <c r="K214" s="103">
        <f t="shared" si="15"/>
        <v>5.7711924928727707E-5</v>
      </c>
    </row>
    <row r="215" spans="2:11" ht="15" customHeight="1">
      <c r="B215" s="98" t="s">
        <v>1200</v>
      </c>
      <c r="C215" s="99" t="s">
        <v>591</v>
      </c>
      <c r="D215" s="100">
        <v>1429.338</v>
      </c>
      <c r="E215" s="100">
        <v>47.18</v>
      </c>
      <c r="F215" s="101">
        <f t="shared" si="12"/>
        <v>67436.166839999991</v>
      </c>
      <c r="G215" s="102">
        <f t="shared" si="13"/>
        <v>1.9337674988991738E-3</v>
      </c>
      <c r="H215" s="102">
        <v>2.3314963967782962E-2</v>
      </c>
      <c r="I215" s="103">
        <f t="shared" si="14"/>
        <v>4.5085719558904017E-5</v>
      </c>
      <c r="J215" s="103">
        <v>0.12905</v>
      </c>
      <c r="K215" s="103">
        <f t="shared" si="15"/>
        <v>2.4955269573293838E-4</v>
      </c>
    </row>
    <row r="216" spans="2:11" ht="15" customHeight="1">
      <c r="B216" s="98" t="s">
        <v>592</v>
      </c>
      <c r="C216" s="99" t="s">
        <v>593</v>
      </c>
      <c r="D216" s="100">
        <v>1777.2809999999999</v>
      </c>
      <c r="E216" s="100">
        <v>73.69</v>
      </c>
      <c r="F216" s="101">
        <f t="shared" si="12"/>
        <v>130967.83688999999</v>
      </c>
      <c r="G216" s="102">
        <f t="shared" si="13"/>
        <v>3.7555715018604439E-3</v>
      </c>
      <c r="H216" s="102">
        <v>1.3570362328674175E-2</v>
      </c>
      <c r="I216" s="103">
        <f t="shared" si="14"/>
        <v>5.0964466031489266E-5</v>
      </c>
      <c r="J216" s="103">
        <v>0.14199999999999999</v>
      </c>
      <c r="K216" s="103">
        <f t="shared" si="15"/>
        <v>5.33291153264183E-4</v>
      </c>
    </row>
    <row r="217" spans="2:11" ht="15" customHeight="1">
      <c r="B217" s="98" t="s">
        <v>594</v>
      </c>
      <c r="C217" s="99" t="s">
        <v>595</v>
      </c>
      <c r="D217" s="100">
        <v>253.54900000000001</v>
      </c>
      <c r="E217" s="100">
        <v>298.43</v>
      </c>
      <c r="F217" s="101">
        <f t="shared" si="12"/>
        <v>75666.628070000006</v>
      </c>
      <c r="G217" s="102">
        <f t="shared" si="13"/>
        <v>2.1697802969765883E-3</v>
      </c>
      <c r="H217" s="102">
        <v>9.5834869148544045E-3</v>
      </c>
      <c r="I217" s="103">
        <f t="shared" si="14"/>
        <v>2.0794061084184038E-5</v>
      </c>
      <c r="J217" s="103">
        <v>9.5600000000000004E-2</v>
      </c>
      <c r="K217" s="103">
        <f t="shared" si="15"/>
        <v>2.0743099639096186E-4</v>
      </c>
    </row>
    <row r="218" spans="2:11" ht="15" customHeight="1">
      <c r="B218" s="98" t="s">
        <v>596</v>
      </c>
      <c r="C218" s="99" t="s">
        <v>597</v>
      </c>
      <c r="D218" s="100">
        <v>72.843000000000004</v>
      </c>
      <c r="E218" s="100">
        <v>329.39</v>
      </c>
      <c r="F218" s="101">
        <f t="shared" si="12"/>
        <v>23993.75577</v>
      </c>
      <c r="G218" s="102">
        <f t="shared" si="13"/>
        <v>6.8803354726012069E-4</v>
      </c>
      <c r="H218" s="102">
        <v>2.4287318983575701E-3</v>
      </c>
      <c r="I218" s="103">
        <f t="shared" si="14"/>
        <v>1.6710490233707658E-6</v>
      </c>
      <c r="J218" s="103">
        <v>7.7199999999999991E-2</v>
      </c>
      <c r="K218" s="103">
        <f t="shared" si="15"/>
        <v>5.3116189848481314E-5</v>
      </c>
    </row>
    <row r="219" spans="2:11" ht="15" customHeight="1">
      <c r="B219" s="98" t="s">
        <v>598</v>
      </c>
      <c r="C219" s="99" t="s">
        <v>599</v>
      </c>
      <c r="D219" s="100">
        <v>106.43300000000001</v>
      </c>
      <c r="E219" s="100">
        <v>109.04</v>
      </c>
      <c r="F219" s="101">
        <f t="shared" si="12"/>
        <v>11605.454320000001</v>
      </c>
      <c r="G219" s="102">
        <f t="shared" si="13"/>
        <v>3.3279249734377423E-4</v>
      </c>
      <c r="H219" s="102">
        <v>3.8884812912692593E-2</v>
      </c>
      <c r="I219" s="103">
        <f t="shared" si="14"/>
        <v>1.2940573997960407E-5</v>
      </c>
      <c r="J219" s="103">
        <v>6.515E-2</v>
      </c>
      <c r="K219" s="103">
        <f t="shared" si="15"/>
        <v>2.1681431201946892E-5</v>
      </c>
    </row>
    <row r="220" spans="2:11" ht="15" customHeight="1">
      <c r="B220" s="98" t="s">
        <v>600</v>
      </c>
      <c r="C220" s="99" t="s">
        <v>601</v>
      </c>
      <c r="D220" s="100">
        <v>52.719000000000001</v>
      </c>
      <c r="E220" s="100">
        <v>261.39</v>
      </c>
      <c r="F220" s="101">
        <f t="shared" si="12"/>
        <v>13780.21941</v>
      </c>
      <c r="G220" s="102">
        <f t="shared" si="13"/>
        <v>3.9515502839866857E-4</v>
      </c>
      <c r="H220" s="102">
        <v>2.8463215884310802E-2</v>
      </c>
      <c r="I220" s="103">
        <f t="shared" si="14"/>
        <v>1.124738288108227E-5</v>
      </c>
      <c r="J220" s="103">
        <v>3.8300000000000001E-2</v>
      </c>
      <c r="K220" s="103">
        <f t="shared" si="15"/>
        <v>1.5134437587669006E-5</v>
      </c>
    </row>
    <row r="221" spans="2:11" ht="15" customHeight="1">
      <c r="B221" s="98" t="s">
        <v>602</v>
      </c>
      <c r="C221" s="99" t="s">
        <v>603</v>
      </c>
      <c r="D221" s="100">
        <v>231.47</v>
      </c>
      <c r="E221" s="100">
        <v>166.71</v>
      </c>
      <c r="F221" s="101">
        <f t="shared" si="12"/>
        <v>38588.363700000002</v>
      </c>
      <c r="G221" s="102">
        <f t="shared" si="13"/>
        <v>1.106541594153881E-3</v>
      </c>
      <c r="H221" s="102">
        <v>6.7182532541539206E-3</v>
      </c>
      <c r="I221" s="103">
        <f t="shared" si="14"/>
        <v>7.4340266657809779E-6</v>
      </c>
      <c r="J221" s="103">
        <v>7.4299999999999991E-2</v>
      </c>
      <c r="K221" s="103">
        <f t="shared" si="15"/>
        <v>8.2216040445633347E-5</v>
      </c>
    </row>
    <row r="222" spans="2:11" ht="15" customHeight="1">
      <c r="B222" s="98" t="s">
        <v>1271</v>
      </c>
      <c r="C222" s="99" t="s">
        <v>1272</v>
      </c>
      <c r="D222" s="100">
        <v>2089.52</v>
      </c>
      <c r="E222" s="100">
        <v>72.680000000000007</v>
      </c>
      <c r="F222" s="101">
        <f t="shared" si="12"/>
        <v>151866.31360000002</v>
      </c>
      <c r="G222" s="102" t="str">
        <f t="shared" si="13"/>
        <v/>
      </c>
      <c r="H222" s="102" t="s">
        <v>243</v>
      </c>
      <c r="I222" s="103" t="str">
        <f t="shared" si="14"/>
        <v/>
      </c>
      <c r="J222" s="103">
        <v>0.61049999999999993</v>
      </c>
      <c r="K222" s="103" t="str">
        <f t="shared" si="15"/>
        <v/>
      </c>
    </row>
    <row r="223" spans="2:11" ht="15" customHeight="1">
      <c r="B223" s="98" t="s">
        <v>604</v>
      </c>
      <c r="C223" s="99" t="s">
        <v>605</v>
      </c>
      <c r="D223" s="100">
        <v>1094.633</v>
      </c>
      <c r="E223" s="100">
        <v>77.569999999999993</v>
      </c>
      <c r="F223" s="101">
        <f t="shared" si="12"/>
        <v>84910.681809999995</v>
      </c>
      <c r="G223" s="102">
        <f t="shared" si="13"/>
        <v>2.434858392576266E-3</v>
      </c>
      <c r="H223" s="102">
        <v>3.7127755575609128E-2</v>
      </c>
      <c r="I223" s="103">
        <f t="shared" si="14"/>
        <v>9.0400827260792138E-5</v>
      </c>
      <c r="J223" s="103">
        <v>6.1500000000000006E-2</v>
      </c>
      <c r="K223" s="103">
        <f t="shared" si="15"/>
        <v>1.4974379114344037E-4</v>
      </c>
    </row>
    <row r="224" spans="2:11" ht="15" customHeight="1">
      <c r="B224" s="98" t="s">
        <v>606</v>
      </c>
      <c r="C224" s="99" t="s">
        <v>607</v>
      </c>
      <c r="D224" s="100">
        <v>1338.096</v>
      </c>
      <c r="E224" s="100">
        <v>38.85</v>
      </c>
      <c r="F224" s="101">
        <f t="shared" si="12"/>
        <v>51985.029600000002</v>
      </c>
      <c r="G224" s="102">
        <f t="shared" si="13"/>
        <v>1.4906980242264246E-3</v>
      </c>
      <c r="H224" s="102">
        <v>5.353925353925354E-2</v>
      </c>
      <c r="I224" s="103">
        <f t="shared" si="14"/>
        <v>7.9810859469522865E-5</v>
      </c>
      <c r="J224" s="103">
        <v>0.1051</v>
      </c>
      <c r="K224" s="103">
        <f t="shared" si="15"/>
        <v>1.5667236234619722E-4</v>
      </c>
    </row>
    <row r="225" spans="2:11" ht="15" customHeight="1">
      <c r="B225" s="98" t="s">
        <v>608</v>
      </c>
      <c r="C225" s="99" t="s">
        <v>609</v>
      </c>
      <c r="D225" s="100">
        <v>598.45600000000002</v>
      </c>
      <c r="E225" s="100">
        <v>28.61</v>
      </c>
      <c r="F225" s="101">
        <f t="shared" si="12"/>
        <v>17121.826160000001</v>
      </c>
      <c r="G225" s="102" t="str">
        <f t="shared" si="13"/>
        <v/>
      </c>
      <c r="H225" s="102">
        <v>2.5166025865082139E-2</v>
      </c>
      <c r="I225" s="103" t="str">
        <f t="shared" si="14"/>
        <v/>
      </c>
      <c r="J225" s="103" t="s">
        <v>243</v>
      </c>
      <c r="K225" s="103" t="str">
        <f t="shared" si="15"/>
        <v/>
      </c>
    </row>
    <row r="226" spans="2:11" ht="15" customHeight="1">
      <c r="B226" s="98" t="s">
        <v>610</v>
      </c>
      <c r="C226" s="99" t="s">
        <v>611</v>
      </c>
      <c r="D226" s="100">
        <v>255.66200000000001</v>
      </c>
      <c r="E226" s="100">
        <v>78.58</v>
      </c>
      <c r="F226" s="101">
        <f t="shared" si="12"/>
        <v>20089.919959999999</v>
      </c>
      <c r="G226" s="102">
        <f t="shared" si="13"/>
        <v>5.7608900527083683E-4</v>
      </c>
      <c r="H226" s="102">
        <v>6.1084245355052177E-3</v>
      </c>
      <c r="I226" s="103">
        <f t="shared" si="14"/>
        <v>3.5189962144311742E-6</v>
      </c>
      <c r="J226" s="103">
        <v>0.13635</v>
      </c>
      <c r="K226" s="103">
        <f t="shared" si="15"/>
        <v>7.8549735868678597E-5</v>
      </c>
    </row>
    <row r="227" spans="2:11" ht="15" customHeight="1">
      <c r="B227" s="98" t="s">
        <v>612</v>
      </c>
      <c r="C227" s="99" t="s">
        <v>613</v>
      </c>
      <c r="D227" s="100">
        <v>153.87899999999999</v>
      </c>
      <c r="E227" s="100">
        <v>79.89</v>
      </c>
      <c r="F227" s="101">
        <f t="shared" si="12"/>
        <v>12293.393309999999</v>
      </c>
      <c r="G227" s="102">
        <f t="shared" si="13"/>
        <v>3.5251950915990909E-4</v>
      </c>
      <c r="H227" s="102">
        <v>4.0555764175741645E-2</v>
      </c>
      <c r="I227" s="103">
        <f t="shared" si="14"/>
        <v>1.429669808083747E-5</v>
      </c>
      <c r="J227" s="103">
        <v>7.0000000000000007E-2</v>
      </c>
      <c r="K227" s="103">
        <f t="shared" si="15"/>
        <v>2.4676365641193638E-5</v>
      </c>
    </row>
    <row r="228" spans="2:11" ht="15" customHeight="1">
      <c r="B228" s="98" t="s">
        <v>614</v>
      </c>
      <c r="C228" s="99" t="s">
        <v>615</v>
      </c>
      <c r="D228" s="100">
        <v>175.82900000000001</v>
      </c>
      <c r="E228" s="100">
        <v>287.64999999999998</v>
      </c>
      <c r="F228" s="101">
        <f t="shared" si="12"/>
        <v>50577.21185</v>
      </c>
      <c r="G228" s="102">
        <f t="shared" si="13"/>
        <v>1.4503281109159224E-3</v>
      </c>
      <c r="H228" s="102">
        <v>4.1717364853120116E-2</v>
      </c>
      <c r="I228" s="103">
        <f t="shared" si="14"/>
        <v>6.0503866959815989E-5</v>
      </c>
      <c r="J228" s="103">
        <v>3.065E-2</v>
      </c>
      <c r="K228" s="103">
        <f t="shared" si="15"/>
        <v>4.4452556599573019E-5</v>
      </c>
    </row>
    <row r="229" spans="2:11" ht="15" customHeight="1">
      <c r="B229" s="98" t="s">
        <v>616</v>
      </c>
      <c r="C229" s="99" t="s">
        <v>617</v>
      </c>
      <c r="D229" s="100">
        <v>313.363</v>
      </c>
      <c r="E229" s="100">
        <v>350.48</v>
      </c>
      <c r="F229" s="101">
        <f t="shared" si="12"/>
        <v>109827.46424</v>
      </c>
      <c r="G229" s="102">
        <f t="shared" si="13"/>
        <v>3.1493602140483593E-3</v>
      </c>
      <c r="H229" s="102" t="s">
        <v>243</v>
      </c>
      <c r="I229" s="103" t="str">
        <f t="shared" si="14"/>
        <v/>
      </c>
      <c r="J229" s="103">
        <v>0.1358</v>
      </c>
      <c r="K229" s="103">
        <f t="shared" si="15"/>
        <v>4.276831170677672E-4</v>
      </c>
    </row>
    <row r="230" spans="2:11" ht="15" customHeight="1">
      <c r="B230" s="98" t="s">
        <v>618</v>
      </c>
      <c r="C230" s="99" t="s">
        <v>619</v>
      </c>
      <c r="D230" s="100">
        <v>497.98200000000003</v>
      </c>
      <c r="E230" s="100">
        <v>71.39</v>
      </c>
      <c r="F230" s="101">
        <f t="shared" si="12"/>
        <v>35550.934980000005</v>
      </c>
      <c r="G230" s="102">
        <f t="shared" si="13"/>
        <v>1.0194417304724992E-3</v>
      </c>
      <c r="H230" s="102">
        <v>2.8575430732595601E-2</v>
      </c>
      <c r="I230" s="103">
        <f t="shared" si="14"/>
        <v>2.9130986555034295E-5</v>
      </c>
      <c r="J230" s="103">
        <v>0.13</v>
      </c>
      <c r="K230" s="103">
        <f t="shared" si="15"/>
        <v>1.325274249614249E-4</v>
      </c>
    </row>
    <row r="231" spans="2:11" ht="15" customHeight="1">
      <c r="B231" s="98" t="s">
        <v>620</v>
      </c>
      <c r="C231" s="99" t="s">
        <v>621</v>
      </c>
      <c r="D231" s="100">
        <v>687.79700000000003</v>
      </c>
      <c r="E231" s="100">
        <v>53.94</v>
      </c>
      <c r="F231" s="101">
        <f t="shared" si="12"/>
        <v>37099.77018</v>
      </c>
      <c r="G231" s="102">
        <f t="shared" si="13"/>
        <v>1.0638553932184435E-3</v>
      </c>
      <c r="H231" s="102">
        <v>1.1865035224323323E-2</v>
      </c>
      <c r="I231" s="103">
        <f t="shared" si="14"/>
        <v>1.2622681714123173E-5</v>
      </c>
      <c r="J231" s="103">
        <v>0.1133</v>
      </c>
      <c r="K231" s="103">
        <f t="shared" si="15"/>
        <v>1.2053481605164964E-4</v>
      </c>
    </row>
    <row r="232" spans="2:11" ht="15" customHeight="1">
      <c r="B232" s="98" t="s">
        <v>622</v>
      </c>
      <c r="C232" s="99" t="s">
        <v>623</v>
      </c>
      <c r="D232" s="100">
        <v>910.48199999999997</v>
      </c>
      <c r="E232" s="100">
        <v>194.53</v>
      </c>
      <c r="F232" s="101">
        <f t="shared" si="12"/>
        <v>177116.06346</v>
      </c>
      <c r="G232" s="102" t="str">
        <f t="shared" si="13"/>
        <v/>
      </c>
      <c r="H232" s="102">
        <v>2.6731095460854368E-2</v>
      </c>
      <c r="I232" s="103" t="str">
        <f t="shared" si="14"/>
        <v/>
      </c>
      <c r="J232" s="103">
        <v>-1.1399999999999999E-2</v>
      </c>
      <c r="K232" s="103" t="str">
        <f t="shared" si="15"/>
        <v/>
      </c>
    </row>
    <row r="233" spans="2:11" ht="15" customHeight="1">
      <c r="B233" s="98" t="s">
        <v>624</v>
      </c>
      <c r="C233" s="99" t="s">
        <v>625</v>
      </c>
      <c r="D233" s="100">
        <v>190.69900000000001</v>
      </c>
      <c r="E233" s="100">
        <v>85.86</v>
      </c>
      <c r="F233" s="101">
        <f t="shared" si="12"/>
        <v>16373.416140000001</v>
      </c>
      <c r="G233" s="102">
        <f t="shared" si="13"/>
        <v>4.6951630647402867E-4</v>
      </c>
      <c r="H233" s="102">
        <v>9.3174935942231542E-4</v>
      </c>
      <c r="I233" s="103">
        <f t="shared" si="14"/>
        <v>4.3747151779550773E-7</v>
      </c>
      <c r="J233" s="103">
        <v>0.10050000000000001</v>
      </c>
      <c r="K233" s="103">
        <f t="shared" si="15"/>
        <v>4.7186388800639882E-5</v>
      </c>
    </row>
    <row r="234" spans="2:11" ht="15" customHeight="1">
      <c r="B234" s="98" t="s">
        <v>626</v>
      </c>
      <c r="C234" s="99" t="s">
        <v>627</v>
      </c>
      <c r="D234" s="100">
        <v>381.71600000000001</v>
      </c>
      <c r="E234" s="100">
        <v>553</v>
      </c>
      <c r="F234" s="101">
        <f t="shared" si="12"/>
        <v>211088.948</v>
      </c>
      <c r="G234" s="102">
        <f t="shared" si="13"/>
        <v>6.0530864393243409E-3</v>
      </c>
      <c r="H234" s="102">
        <v>2.8209764918625678E-3</v>
      </c>
      <c r="I234" s="103">
        <f t="shared" si="14"/>
        <v>1.707561454854606E-5</v>
      </c>
      <c r="J234" s="103">
        <v>7.400000000000001E-2</v>
      </c>
      <c r="K234" s="103">
        <f t="shared" si="15"/>
        <v>4.4792839651000126E-4</v>
      </c>
    </row>
    <row r="235" spans="2:11" ht="15" customHeight="1">
      <c r="B235" s="98" t="s">
        <v>628</v>
      </c>
      <c r="C235" s="99" t="s">
        <v>629</v>
      </c>
      <c r="D235" s="100">
        <v>1130.1489999999999</v>
      </c>
      <c r="E235" s="100">
        <v>110.1</v>
      </c>
      <c r="F235" s="101">
        <f t="shared" si="12"/>
        <v>124429.40489999998</v>
      </c>
      <c r="G235" s="102">
        <f t="shared" si="13"/>
        <v>3.5680785308257238E-3</v>
      </c>
      <c r="H235" s="102">
        <v>1.3623978201634877E-2</v>
      </c>
      <c r="I235" s="103">
        <f t="shared" si="14"/>
        <v>4.8611424125691062E-5</v>
      </c>
      <c r="J235" s="103">
        <v>8.1300000000000011E-2</v>
      </c>
      <c r="K235" s="103">
        <f t="shared" si="15"/>
        <v>2.900847845561314E-4</v>
      </c>
    </row>
    <row r="236" spans="2:11" ht="15" customHeight="1">
      <c r="B236" s="98" t="s">
        <v>630</v>
      </c>
      <c r="C236" s="99" t="s">
        <v>631</v>
      </c>
      <c r="D236" s="100">
        <v>92.27</v>
      </c>
      <c r="E236" s="100">
        <v>82.28</v>
      </c>
      <c r="F236" s="101">
        <f t="shared" si="12"/>
        <v>7591.9755999999998</v>
      </c>
      <c r="G236" s="102">
        <f t="shared" si="13"/>
        <v>2.1770388733019445E-4</v>
      </c>
      <c r="H236" s="102">
        <v>1.1667476908118618E-2</v>
      </c>
      <c r="I236" s="103">
        <f t="shared" si="14"/>
        <v>2.5400550782327011E-6</v>
      </c>
      <c r="J236" s="103">
        <v>7.0000000000000007E-2</v>
      </c>
      <c r="K236" s="103">
        <f t="shared" si="15"/>
        <v>1.5239272113113613E-5</v>
      </c>
    </row>
    <row r="237" spans="2:11" ht="15" customHeight="1">
      <c r="B237" s="98" t="s">
        <v>632</v>
      </c>
      <c r="C237" s="99" t="s">
        <v>633</v>
      </c>
      <c r="D237" s="100">
        <v>673.67600000000004</v>
      </c>
      <c r="E237" s="100">
        <v>66.47</v>
      </c>
      <c r="F237" s="101">
        <f t="shared" si="12"/>
        <v>44779.243719999999</v>
      </c>
      <c r="G237" s="102">
        <f t="shared" si="13"/>
        <v>1.2840683299285363E-3</v>
      </c>
      <c r="H237" s="102">
        <v>2.2265683767112982E-2</v>
      </c>
      <c r="I237" s="103">
        <f t="shared" si="14"/>
        <v>2.8590659369553687E-5</v>
      </c>
      <c r="J237" s="103">
        <v>9.4499999999999987E-2</v>
      </c>
      <c r="K237" s="103">
        <f t="shared" si="15"/>
        <v>1.2134445717824666E-4</v>
      </c>
    </row>
    <row r="238" spans="2:11" ht="15" customHeight="1">
      <c r="B238" s="98" t="s">
        <v>634</v>
      </c>
      <c r="C238" s="99" t="s">
        <v>635</v>
      </c>
      <c r="D238" s="100">
        <v>47.716000000000001</v>
      </c>
      <c r="E238" s="100">
        <v>385.87</v>
      </c>
      <c r="F238" s="101">
        <f t="shared" si="12"/>
        <v>18412.172920000001</v>
      </c>
      <c r="G238" s="102">
        <f t="shared" si="13"/>
        <v>5.2797872781357961E-4</v>
      </c>
      <c r="H238" s="102" t="s">
        <v>243</v>
      </c>
      <c r="I238" s="103" t="str">
        <f t="shared" si="14"/>
        <v/>
      </c>
      <c r="J238" s="103">
        <v>6.4600000000000005E-2</v>
      </c>
      <c r="K238" s="103">
        <f t="shared" si="15"/>
        <v>3.4107425816757245E-5</v>
      </c>
    </row>
    <row r="239" spans="2:11" ht="15" customHeight="1">
      <c r="B239" s="98" t="s">
        <v>636</v>
      </c>
      <c r="C239" s="99" t="s">
        <v>637</v>
      </c>
      <c r="D239" s="100">
        <v>610.12199999999996</v>
      </c>
      <c r="E239" s="100">
        <v>226.26</v>
      </c>
      <c r="F239" s="101">
        <f t="shared" si="12"/>
        <v>138046.20371999999</v>
      </c>
      <c r="G239" s="102">
        <f t="shared" si="13"/>
        <v>3.9585473879842226E-3</v>
      </c>
      <c r="H239" s="102">
        <v>2.2982409617254489E-2</v>
      </c>
      <c r="I239" s="103">
        <f t="shared" si="14"/>
        <v>9.0976957559966233E-5</v>
      </c>
      <c r="J239" s="103">
        <v>0.1149</v>
      </c>
      <c r="K239" s="103">
        <f t="shared" si="15"/>
        <v>4.5483709487938721E-4</v>
      </c>
    </row>
    <row r="240" spans="2:11" ht="15" customHeight="1">
      <c r="B240" s="98" t="s">
        <v>638</v>
      </c>
      <c r="C240" s="99" t="s">
        <v>639</v>
      </c>
      <c r="D240" s="100">
        <v>174.53899999999999</v>
      </c>
      <c r="E240" s="100">
        <v>136.75</v>
      </c>
      <c r="F240" s="101">
        <f t="shared" si="12"/>
        <v>23868.20825</v>
      </c>
      <c r="G240" s="102" t="str">
        <f t="shared" si="13"/>
        <v/>
      </c>
      <c r="H240" s="102" t="s">
        <v>243</v>
      </c>
      <c r="I240" s="103" t="str">
        <f t="shared" si="14"/>
        <v/>
      </c>
      <c r="J240" s="103">
        <v>-3.5450000000000002E-2</v>
      </c>
      <c r="K240" s="103" t="str">
        <f t="shared" si="15"/>
        <v/>
      </c>
    </row>
    <row r="241" spans="2:11" ht="15" customHeight="1">
      <c r="B241" s="98" t="s">
        <v>640</v>
      </c>
      <c r="C241" s="99" t="s">
        <v>641</v>
      </c>
      <c r="D241" s="100">
        <v>920.38499999999999</v>
      </c>
      <c r="E241" s="100">
        <v>509.26</v>
      </c>
      <c r="F241" s="101">
        <f t="shared" si="12"/>
        <v>468715.26509999996</v>
      </c>
      <c r="G241" s="102">
        <f t="shared" si="13"/>
        <v>1.3440656377145446E-2</v>
      </c>
      <c r="H241" s="102">
        <v>1.6494521462514237E-2</v>
      </c>
      <c r="I241" s="103">
        <f t="shared" si="14"/>
        <v>2.216971950831044E-4</v>
      </c>
      <c r="J241" s="103">
        <v>9.9399999999999988E-2</v>
      </c>
      <c r="K241" s="103">
        <f t="shared" si="15"/>
        <v>1.3360012438882571E-3</v>
      </c>
    </row>
    <row r="242" spans="2:11" ht="15" customHeight="1">
      <c r="B242" s="98" t="s">
        <v>1243</v>
      </c>
      <c r="C242" s="99" t="s">
        <v>1244</v>
      </c>
      <c r="D242" s="100">
        <v>714.64599999999996</v>
      </c>
      <c r="E242" s="100">
        <v>123.8</v>
      </c>
      <c r="F242" s="101">
        <f t="shared" si="12"/>
        <v>88473.174799999993</v>
      </c>
      <c r="G242" s="102" t="str">
        <f t="shared" si="13"/>
        <v/>
      </c>
      <c r="H242" s="102">
        <v>2.6817447495961228E-2</v>
      </c>
      <c r="I242" s="103" t="str">
        <f t="shared" si="14"/>
        <v/>
      </c>
      <c r="J242" s="103">
        <v>0.23929999999999998</v>
      </c>
      <c r="K242" s="103" t="str">
        <f t="shared" si="15"/>
        <v/>
      </c>
    </row>
    <row r="243" spans="2:11" ht="15" customHeight="1">
      <c r="B243" s="98" t="s">
        <v>642</v>
      </c>
      <c r="C243" s="99" t="s">
        <v>643</v>
      </c>
      <c r="D243" s="100">
        <v>564.03599999999994</v>
      </c>
      <c r="E243" s="100">
        <v>28.67</v>
      </c>
      <c r="F243" s="101">
        <f t="shared" si="12"/>
        <v>16170.912119999999</v>
      </c>
      <c r="G243" s="102" t="str">
        <f t="shared" si="13"/>
        <v/>
      </c>
      <c r="H243" s="102">
        <v>1.5347052668294383E-2</v>
      </c>
      <c r="I243" s="103" t="str">
        <f t="shared" si="14"/>
        <v/>
      </c>
      <c r="J243" s="103" t="s">
        <v>243</v>
      </c>
      <c r="K243" s="103" t="str">
        <f t="shared" si="15"/>
        <v/>
      </c>
    </row>
    <row r="244" spans="2:11" ht="15" customHeight="1">
      <c r="B244" s="98" t="s">
        <v>644</v>
      </c>
      <c r="C244" s="99" t="s">
        <v>645</v>
      </c>
      <c r="D244" s="100">
        <v>23.446000000000002</v>
      </c>
      <c r="E244" s="100">
        <v>273.11</v>
      </c>
      <c r="F244" s="101">
        <f t="shared" si="12"/>
        <v>6403.3370600000007</v>
      </c>
      <c r="G244" s="102" t="str">
        <f t="shared" si="13"/>
        <v/>
      </c>
      <c r="H244" s="102" t="s">
        <v>243</v>
      </c>
      <c r="I244" s="103" t="str">
        <f t="shared" si="14"/>
        <v/>
      </c>
      <c r="J244" s="103" t="s">
        <v>243</v>
      </c>
      <c r="K244" s="103" t="str">
        <f t="shared" si="15"/>
        <v/>
      </c>
    </row>
    <row r="245" spans="2:11" ht="15" customHeight="1">
      <c r="B245" s="98" t="s">
        <v>646</v>
      </c>
      <c r="C245" s="99" t="s">
        <v>647</v>
      </c>
      <c r="D245" s="100">
        <v>404.774</v>
      </c>
      <c r="E245" s="100">
        <v>50.81</v>
      </c>
      <c r="F245" s="101">
        <f t="shared" si="12"/>
        <v>20566.566940000001</v>
      </c>
      <c r="G245" s="102">
        <f t="shared" si="13"/>
        <v>5.8975710773815748E-4</v>
      </c>
      <c r="H245" s="102">
        <v>3.5426097224955717E-2</v>
      </c>
      <c r="I245" s="103">
        <f t="shared" si="14"/>
        <v>2.089279263784065E-5</v>
      </c>
      <c r="J245" s="103">
        <v>6.1900000000000004E-2</v>
      </c>
      <c r="K245" s="103">
        <f t="shared" si="15"/>
        <v>3.650596496899195E-5</v>
      </c>
    </row>
    <row r="246" spans="2:11" ht="15" customHeight="1">
      <c r="B246" s="98" t="s">
        <v>1273</v>
      </c>
      <c r="C246" s="99" t="s">
        <v>544</v>
      </c>
      <c r="D246" s="100">
        <v>84.293999999999997</v>
      </c>
      <c r="E246" s="100">
        <v>203.51</v>
      </c>
      <c r="F246" s="101">
        <f t="shared" si="12"/>
        <v>17154.67194</v>
      </c>
      <c r="G246" s="102">
        <f t="shared" si="13"/>
        <v>4.9191922682314843E-4</v>
      </c>
      <c r="H246" s="102">
        <v>1.4151638740111052E-2</v>
      </c>
      <c r="I246" s="103">
        <f t="shared" si="14"/>
        <v>6.961463187315943E-6</v>
      </c>
      <c r="J246" s="103">
        <v>9.4600000000000004E-2</v>
      </c>
      <c r="K246" s="103">
        <f t="shared" si="15"/>
        <v>4.6535558857469844E-5</v>
      </c>
    </row>
    <row r="247" spans="2:11" ht="15" customHeight="1">
      <c r="B247" s="98" t="s">
        <v>648</v>
      </c>
      <c r="C247" s="99" t="s">
        <v>649</v>
      </c>
      <c r="D247" s="100">
        <v>132.25200000000001</v>
      </c>
      <c r="E247" s="100">
        <v>248.68</v>
      </c>
      <c r="F247" s="101">
        <f t="shared" si="12"/>
        <v>32888.427360000001</v>
      </c>
      <c r="G247" s="102">
        <f t="shared" si="13"/>
        <v>9.430929262270976E-4</v>
      </c>
      <c r="H247" s="102">
        <v>7.3990670741515205E-3</v>
      </c>
      <c r="I247" s="103">
        <f t="shared" si="14"/>
        <v>6.9780078183121267E-6</v>
      </c>
      <c r="J247" s="103">
        <v>0.15710000000000002</v>
      </c>
      <c r="K247" s="103">
        <f t="shared" si="15"/>
        <v>1.4815989871027704E-4</v>
      </c>
    </row>
    <row r="248" spans="2:11" ht="15" customHeight="1">
      <c r="B248" s="98" t="s">
        <v>650</v>
      </c>
      <c r="C248" s="99" t="s">
        <v>651</v>
      </c>
      <c r="D248" s="100">
        <v>729.61699999999996</v>
      </c>
      <c r="E248" s="100">
        <v>28.39</v>
      </c>
      <c r="F248" s="101">
        <f t="shared" si="12"/>
        <v>20713.82663</v>
      </c>
      <c r="G248" s="102" t="str">
        <f t="shared" si="13"/>
        <v/>
      </c>
      <c r="H248" s="102">
        <v>2.8178936245156747E-2</v>
      </c>
      <c r="I248" s="103" t="str">
        <f t="shared" si="14"/>
        <v/>
      </c>
      <c r="J248" s="103">
        <v>-3.3E-3</v>
      </c>
      <c r="K248" s="103" t="str">
        <f t="shared" si="15"/>
        <v/>
      </c>
    </row>
    <row r="249" spans="2:11" ht="15" customHeight="1">
      <c r="B249" s="98" t="s">
        <v>652</v>
      </c>
      <c r="C249" s="99" t="s">
        <v>653</v>
      </c>
      <c r="D249" s="100">
        <v>1218.7539999999999</v>
      </c>
      <c r="E249" s="100">
        <v>42.5</v>
      </c>
      <c r="F249" s="101">
        <f t="shared" si="12"/>
        <v>51797.044999999998</v>
      </c>
      <c r="G249" s="102">
        <f t="shared" si="13"/>
        <v>1.4853074670994743E-3</v>
      </c>
      <c r="H249" s="102">
        <v>4.4705882352941172E-2</v>
      </c>
      <c r="I249" s="103">
        <f t="shared" si="14"/>
        <v>6.6401980882094139E-5</v>
      </c>
      <c r="J249" s="103">
        <v>3.9399999999999998E-2</v>
      </c>
      <c r="K249" s="103">
        <f t="shared" si="15"/>
        <v>5.852111420371928E-5</v>
      </c>
    </row>
    <row r="250" spans="2:11" ht="15" customHeight="1">
      <c r="B250" s="98" t="s">
        <v>654</v>
      </c>
      <c r="C250" s="99" t="s">
        <v>655</v>
      </c>
      <c r="D250" s="100">
        <v>315.12099999999998</v>
      </c>
      <c r="E250" s="100">
        <v>200.27</v>
      </c>
      <c r="F250" s="101">
        <f t="shared" si="12"/>
        <v>63109.282670000001</v>
      </c>
      <c r="G250" s="102">
        <f t="shared" si="13"/>
        <v>1.8096918230189089E-3</v>
      </c>
      <c r="H250" s="102">
        <v>7.0404953313027404E-3</v>
      </c>
      <c r="I250" s="103">
        <f t="shared" si="14"/>
        <v>1.2741126831061374E-5</v>
      </c>
      <c r="J250" s="103">
        <v>0.1459</v>
      </c>
      <c r="K250" s="103">
        <f t="shared" si="15"/>
        <v>2.6403403697845883E-4</v>
      </c>
    </row>
    <row r="251" spans="2:11" ht="15" customHeight="1">
      <c r="B251" s="98" t="s">
        <v>656</v>
      </c>
      <c r="C251" s="99" t="s">
        <v>657</v>
      </c>
      <c r="D251" s="100">
        <v>315.82299999999998</v>
      </c>
      <c r="E251" s="100">
        <v>78.459999999999994</v>
      </c>
      <c r="F251" s="101">
        <f t="shared" si="12"/>
        <v>24779.472579999998</v>
      </c>
      <c r="G251" s="102">
        <f t="shared" si="13"/>
        <v>7.1056438941373347E-4</v>
      </c>
      <c r="H251" s="102">
        <v>4.2569462146316593E-2</v>
      </c>
      <c r="I251" s="103">
        <f t="shared" si="14"/>
        <v>3.024834387766849E-5</v>
      </c>
      <c r="J251" s="103">
        <v>6.8499999999999991E-2</v>
      </c>
      <c r="K251" s="103">
        <f t="shared" si="15"/>
        <v>4.8673660674840736E-5</v>
      </c>
    </row>
    <row r="252" spans="2:11" ht="15" customHeight="1">
      <c r="B252" s="98" t="s">
        <v>658</v>
      </c>
      <c r="C252" s="99" t="s">
        <v>659</v>
      </c>
      <c r="D252" s="100">
        <v>443.4</v>
      </c>
      <c r="E252" s="100">
        <v>555.54</v>
      </c>
      <c r="F252" s="101">
        <f t="shared" si="12"/>
        <v>246326.43599999996</v>
      </c>
      <c r="G252" s="102">
        <f t="shared" si="13"/>
        <v>7.0635399130355939E-3</v>
      </c>
      <c r="H252" s="102" t="s">
        <v>243</v>
      </c>
      <c r="I252" s="103" t="str">
        <f t="shared" si="14"/>
        <v/>
      </c>
      <c r="J252" s="103">
        <v>0.16272999999999999</v>
      </c>
      <c r="K252" s="103">
        <f t="shared" si="15"/>
        <v>1.1494498500482821E-3</v>
      </c>
    </row>
    <row r="253" spans="2:11" ht="15" customHeight="1">
      <c r="B253" s="98" t="s">
        <v>1274</v>
      </c>
      <c r="C253" s="99" t="s">
        <v>1275</v>
      </c>
      <c r="D253" s="100">
        <v>347.46</v>
      </c>
      <c r="E253" s="100">
        <v>85.98</v>
      </c>
      <c r="F253" s="101">
        <f t="shared" si="12"/>
        <v>29874.610799999999</v>
      </c>
      <c r="G253" s="102" t="str">
        <f t="shared" si="13"/>
        <v/>
      </c>
      <c r="H253" s="102">
        <v>1.0118632240055827E-2</v>
      </c>
      <c r="I253" s="103" t="str">
        <f t="shared" si="14"/>
        <v/>
      </c>
      <c r="J253" s="103" t="s">
        <v>243</v>
      </c>
      <c r="K253" s="103" t="str">
        <f t="shared" si="15"/>
        <v/>
      </c>
    </row>
    <row r="254" spans="2:11" ht="15" customHeight="1">
      <c r="B254" s="98" t="s">
        <v>660</v>
      </c>
      <c r="C254" s="99" t="s">
        <v>661</v>
      </c>
      <c r="D254" s="100">
        <v>710.66700000000003</v>
      </c>
      <c r="E254" s="100">
        <v>17.57</v>
      </c>
      <c r="F254" s="101">
        <f t="shared" si="12"/>
        <v>12486.419190000001</v>
      </c>
      <c r="G254" s="102" t="str">
        <f t="shared" si="13"/>
        <v/>
      </c>
      <c r="H254" s="102">
        <v>3.9271485486624923E-2</v>
      </c>
      <c r="I254" s="103" t="str">
        <f t="shared" si="14"/>
        <v/>
      </c>
      <c r="J254" s="103" t="s">
        <v>243</v>
      </c>
      <c r="K254" s="103" t="str">
        <f t="shared" si="15"/>
        <v/>
      </c>
    </row>
    <row r="255" spans="2:11" ht="15" customHeight="1">
      <c r="B255" s="98" t="s">
        <v>704</v>
      </c>
      <c r="C255" s="99" t="s">
        <v>705</v>
      </c>
      <c r="D255" s="100">
        <v>141.25200000000001</v>
      </c>
      <c r="E255" s="100">
        <v>124.79</v>
      </c>
      <c r="F255" s="101">
        <f t="shared" si="12"/>
        <v>17626.837080000001</v>
      </c>
      <c r="G255" s="102">
        <f t="shared" si="13"/>
        <v>5.0545881017478693E-4</v>
      </c>
      <c r="H255" s="102">
        <v>1.1699655421107459E-2</v>
      </c>
      <c r="I255" s="103">
        <f t="shared" si="14"/>
        <v>5.9136939086079725E-6</v>
      </c>
      <c r="J255" s="103">
        <v>4.3899999999999995E-2</v>
      </c>
      <c r="K255" s="103">
        <f t="shared" si="15"/>
        <v>2.2189641766673143E-5</v>
      </c>
    </row>
    <row r="256" spans="2:11" ht="15" customHeight="1">
      <c r="B256" s="98" t="s">
        <v>662</v>
      </c>
      <c r="C256" s="99" t="s">
        <v>663</v>
      </c>
      <c r="D256" s="100">
        <v>536.43499999999995</v>
      </c>
      <c r="E256" s="100">
        <v>312.45</v>
      </c>
      <c r="F256" s="101">
        <f t="shared" si="12"/>
        <v>167609.11574999997</v>
      </c>
      <c r="G256" s="102">
        <f t="shared" si="13"/>
        <v>4.8062794156966881E-3</v>
      </c>
      <c r="H256" s="102">
        <v>2.8804608737397985E-2</v>
      </c>
      <c r="I256" s="103">
        <f t="shared" si="14"/>
        <v>1.3844299805175291E-4</v>
      </c>
      <c r="J256" s="103">
        <v>6.2199999999999998E-2</v>
      </c>
      <c r="K256" s="103">
        <f t="shared" si="15"/>
        <v>2.9895057965633398E-4</v>
      </c>
    </row>
    <row r="257" spans="2:11" ht="15" customHeight="1">
      <c r="B257" s="98" t="s">
        <v>664</v>
      </c>
      <c r="C257" s="99" t="s">
        <v>665</v>
      </c>
      <c r="D257" s="100">
        <v>15334.082</v>
      </c>
      <c r="E257" s="100">
        <v>210.62</v>
      </c>
      <c r="F257" s="101">
        <f t="shared" si="12"/>
        <v>3229664.35084</v>
      </c>
      <c r="G257" s="102">
        <f t="shared" si="13"/>
        <v>9.2612321350139346E-2</v>
      </c>
      <c r="H257" s="102">
        <v>4.7478871902003608E-3</v>
      </c>
      <c r="I257" s="103">
        <f t="shared" si="14"/>
        <v>4.3971285419304597E-4</v>
      </c>
      <c r="J257" s="103">
        <v>0.12725</v>
      </c>
      <c r="K257" s="103">
        <f t="shared" si="15"/>
        <v>1.1784917891805233E-2</v>
      </c>
    </row>
    <row r="258" spans="2:11" ht="15" customHeight="1">
      <c r="B258" s="98" t="s">
        <v>666</v>
      </c>
      <c r="C258" s="99" t="s">
        <v>667</v>
      </c>
      <c r="D258" s="100">
        <v>215.50899999999999</v>
      </c>
      <c r="E258" s="100">
        <v>247.45</v>
      </c>
      <c r="F258" s="101">
        <f t="shared" si="12"/>
        <v>53327.702049999993</v>
      </c>
      <c r="G258" s="102">
        <f t="shared" si="13"/>
        <v>1.5291998618477355E-3</v>
      </c>
      <c r="H258" s="102" t="s">
        <v>243</v>
      </c>
      <c r="I258" s="103" t="str">
        <f t="shared" si="14"/>
        <v/>
      </c>
      <c r="J258" s="103">
        <v>9.9399999999999988E-2</v>
      </c>
      <c r="K258" s="103">
        <f t="shared" si="15"/>
        <v>1.520024662676649E-4</v>
      </c>
    </row>
    <row r="259" spans="2:11" ht="15" customHeight="1">
      <c r="B259" s="98" t="s">
        <v>668</v>
      </c>
      <c r="C259" s="99" t="s">
        <v>669</v>
      </c>
      <c r="D259" s="100">
        <v>101.46299999999999</v>
      </c>
      <c r="E259" s="100">
        <v>700.26</v>
      </c>
      <c r="F259" s="101">
        <f t="shared" si="12"/>
        <v>71050.480379999994</v>
      </c>
      <c r="G259" s="102">
        <f t="shared" si="13"/>
        <v>2.0374098377507577E-3</v>
      </c>
      <c r="H259" s="102">
        <v>7.7114214720246776E-3</v>
      </c>
      <c r="I259" s="103">
        <f t="shared" si="14"/>
        <v>1.5711325970145508E-5</v>
      </c>
      <c r="J259" s="103">
        <v>0.12039999999999999</v>
      </c>
      <c r="K259" s="103">
        <f t="shared" si="15"/>
        <v>2.4530414446519123E-4</v>
      </c>
    </row>
    <row r="260" spans="2:11" ht="15" customHeight="1">
      <c r="B260" s="98" t="s">
        <v>670</v>
      </c>
      <c r="C260" s="99" t="s">
        <v>671</v>
      </c>
      <c r="D260" s="100">
        <v>3914.1819999999998</v>
      </c>
      <c r="E260" s="100">
        <v>39.159999999999997</v>
      </c>
      <c r="F260" s="101">
        <f t="shared" si="12"/>
        <v>153279.36711999998</v>
      </c>
      <c r="G260" s="102">
        <f t="shared" si="13"/>
        <v>4.3953663483238788E-3</v>
      </c>
      <c r="H260" s="102">
        <v>3.1664964249233915E-2</v>
      </c>
      <c r="I260" s="103">
        <f t="shared" si="14"/>
        <v>1.3917911828196145E-4</v>
      </c>
      <c r="J260" s="103">
        <v>8.3299999999999999E-2</v>
      </c>
      <c r="K260" s="103">
        <f t="shared" si="15"/>
        <v>3.6613401681537911E-4</v>
      </c>
    </row>
    <row r="261" spans="2:11" ht="15" customHeight="1">
      <c r="B261" s="98" t="s">
        <v>672</v>
      </c>
      <c r="C261" s="99" t="s">
        <v>673</v>
      </c>
      <c r="D261" s="100">
        <v>197.55099999999999</v>
      </c>
      <c r="E261" s="100">
        <v>50.83</v>
      </c>
      <c r="F261" s="101">
        <f t="shared" si="12"/>
        <v>10041.517329999999</v>
      </c>
      <c r="G261" s="102">
        <f t="shared" si="13"/>
        <v>2.8794578283872712E-4</v>
      </c>
      <c r="H261" s="102">
        <v>3.4625221325988588E-2</v>
      </c>
      <c r="I261" s="103">
        <f t="shared" si="14"/>
        <v>9.9701864606759732E-6</v>
      </c>
      <c r="J261" s="103">
        <v>4.6449999999999998E-2</v>
      </c>
      <c r="K261" s="103">
        <f t="shared" si="15"/>
        <v>1.3375081612858874E-5</v>
      </c>
    </row>
    <row r="262" spans="2:11" ht="15" customHeight="1">
      <c r="B262" s="98" t="s">
        <v>674</v>
      </c>
      <c r="C262" s="99" t="s">
        <v>675</v>
      </c>
      <c r="D262" s="100">
        <v>134.63999999999999</v>
      </c>
      <c r="E262" s="100">
        <v>824.51</v>
      </c>
      <c r="F262" s="101">
        <f t="shared" si="12"/>
        <v>111012.02639999999</v>
      </c>
      <c r="G262" s="102">
        <f t="shared" si="13"/>
        <v>3.1833281560707557E-3</v>
      </c>
      <c r="H262" s="102">
        <v>7.0344810857357705E-3</v>
      </c>
      <c r="I262" s="103">
        <f t="shared" si="14"/>
        <v>2.2393061703569856E-5</v>
      </c>
      <c r="J262" s="103">
        <v>8.9849999999999999E-2</v>
      </c>
      <c r="K262" s="103">
        <f t="shared" si="15"/>
        <v>2.8602203482295738E-4</v>
      </c>
    </row>
    <row r="263" spans="2:11" ht="15" customHeight="1">
      <c r="B263" s="98" t="s">
        <v>676</v>
      </c>
      <c r="C263" s="99" t="s">
        <v>677</v>
      </c>
      <c r="D263" s="100">
        <v>285.62200000000001</v>
      </c>
      <c r="E263" s="100">
        <v>241.77</v>
      </c>
      <c r="F263" s="101">
        <f t="shared" si="12"/>
        <v>69054.83094</v>
      </c>
      <c r="G263" s="102">
        <f t="shared" si="13"/>
        <v>1.9801835420239478E-3</v>
      </c>
      <c r="H263" s="102">
        <v>1.0423129420523638E-2</v>
      </c>
      <c r="I263" s="103">
        <f t="shared" si="14"/>
        <v>2.0639709334906517E-5</v>
      </c>
      <c r="J263" s="103">
        <v>5.5599999999999997E-2</v>
      </c>
      <c r="K263" s="103">
        <f t="shared" si="15"/>
        <v>1.1009820493653149E-4</v>
      </c>
    </row>
    <row r="264" spans="2:11" ht="15" customHeight="1">
      <c r="B264" s="98" t="s">
        <v>711</v>
      </c>
      <c r="C264" s="99" t="s">
        <v>1226</v>
      </c>
      <c r="D264" s="100">
        <v>585.10199999999998</v>
      </c>
      <c r="E264" s="100">
        <v>149.04</v>
      </c>
      <c r="F264" s="101">
        <f t="shared" si="12"/>
        <v>87203.602079999997</v>
      </c>
      <c r="G264" s="102">
        <f t="shared" si="13"/>
        <v>2.5006090854680081E-3</v>
      </c>
      <c r="H264" s="102" t="s">
        <v>243</v>
      </c>
      <c r="I264" s="103" t="str">
        <f t="shared" si="14"/>
        <v/>
      </c>
      <c r="J264" s="103">
        <v>0.11735</v>
      </c>
      <c r="K264" s="103">
        <f t="shared" si="15"/>
        <v>2.9344647617967072E-4</v>
      </c>
    </row>
    <row r="265" spans="2:11" ht="15" customHeight="1">
      <c r="B265" s="98" t="s">
        <v>678</v>
      </c>
      <c r="C265" s="99" t="s">
        <v>679</v>
      </c>
      <c r="D265" s="100">
        <v>252.01499999999999</v>
      </c>
      <c r="E265" s="100">
        <v>70.94</v>
      </c>
      <c r="F265" s="101">
        <f t="shared" si="12"/>
        <v>17877.944099999997</v>
      </c>
      <c r="G265" s="102">
        <f t="shared" si="13"/>
        <v>5.1265943584459289E-4</v>
      </c>
      <c r="H265" s="102">
        <v>2.3681984775866929E-2</v>
      </c>
      <c r="I265" s="103">
        <f t="shared" si="14"/>
        <v>1.2140792954876178E-5</v>
      </c>
      <c r="J265" s="103">
        <v>5.8299999999999998E-2</v>
      </c>
      <c r="K265" s="103">
        <f t="shared" si="15"/>
        <v>2.9888045109739765E-5</v>
      </c>
    </row>
    <row r="266" spans="2:11" ht="15" customHeight="1">
      <c r="B266" s="98" t="s">
        <v>680</v>
      </c>
      <c r="C266" s="99" t="s">
        <v>681</v>
      </c>
      <c r="D266" s="100">
        <v>524.14499999999998</v>
      </c>
      <c r="E266" s="100">
        <v>102.94</v>
      </c>
      <c r="F266" s="101">
        <f t="shared" si="12"/>
        <v>53955.486299999997</v>
      </c>
      <c r="G266" s="102" t="str">
        <f t="shared" si="13"/>
        <v/>
      </c>
      <c r="H266" s="102">
        <v>1.1657276083155236E-2</v>
      </c>
      <c r="I266" s="103" t="str">
        <f t="shared" si="14"/>
        <v/>
      </c>
      <c r="J266" s="103">
        <v>-2.1600000000000001E-2</v>
      </c>
      <c r="K266" s="103" t="str">
        <f t="shared" si="15"/>
        <v/>
      </c>
    </row>
    <row r="267" spans="2:11" ht="15" customHeight="1">
      <c r="B267" s="98" t="s">
        <v>682</v>
      </c>
      <c r="C267" s="99" t="s">
        <v>683</v>
      </c>
      <c r="D267" s="100">
        <v>443.33499999999998</v>
      </c>
      <c r="E267" s="100">
        <v>849.99</v>
      </c>
      <c r="F267" s="101">
        <f t="shared" si="12"/>
        <v>376830.31664999999</v>
      </c>
      <c r="G267" s="102">
        <f t="shared" si="13"/>
        <v>1.0805807226062884E-2</v>
      </c>
      <c r="H267" s="102">
        <v>5.4588877516206068E-3</v>
      </c>
      <c r="I267" s="103">
        <f t="shared" si="14"/>
        <v>5.8987688712728126E-5</v>
      </c>
      <c r="J267" s="103">
        <v>9.64E-2</v>
      </c>
      <c r="K267" s="103">
        <f t="shared" si="15"/>
        <v>1.0416798165924621E-3</v>
      </c>
    </row>
    <row r="268" spans="2:11" ht="15" customHeight="1">
      <c r="B268" s="98" t="s">
        <v>684</v>
      </c>
      <c r="C268" s="99" t="s">
        <v>685</v>
      </c>
      <c r="D268" s="100">
        <v>380.95</v>
      </c>
      <c r="E268" s="100">
        <v>340.25</v>
      </c>
      <c r="F268" s="101">
        <f t="shared" si="12"/>
        <v>129618.2375</v>
      </c>
      <c r="G268" s="102">
        <f t="shared" si="13"/>
        <v>3.7168710305968827E-3</v>
      </c>
      <c r="H268" s="102">
        <v>9.4048493754592209E-3</v>
      </c>
      <c r="I268" s="103">
        <f t="shared" si="14"/>
        <v>3.4956612190771562E-5</v>
      </c>
      <c r="J268" s="103">
        <v>8.3849999999999994E-2</v>
      </c>
      <c r="K268" s="103">
        <f t="shared" si="15"/>
        <v>3.1165963591554862E-4</v>
      </c>
    </row>
    <row r="269" spans="2:11" ht="15" customHeight="1">
      <c r="B269" s="98" t="s">
        <v>686</v>
      </c>
      <c r="C269" s="99" t="s">
        <v>687</v>
      </c>
      <c r="D269" s="100">
        <v>286.01600000000002</v>
      </c>
      <c r="E269" s="100">
        <v>57.14</v>
      </c>
      <c r="F269" s="101">
        <f t="shared" si="12"/>
        <v>16342.954240000001</v>
      </c>
      <c r="G269" s="102" t="str">
        <f t="shared" si="13"/>
        <v/>
      </c>
      <c r="H269" s="102">
        <v>3.4301715085754289E-2</v>
      </c>
      <c r="I269" s="103" t="str">
        <f t="shared" si="14"/>
        <v/>
      </c>
      <c r="J269" s="103">
        <v>0.53920000000000001</v>
      </c>
      <c r="K269" s="103" t="str">
        <f t="shared" si="15"/>
        <v/>
      </c>
    </row>
    <row r="270" spans="2:11" ht="15" customHeight="1">
      <c r="B270" s="98" t="s">
        <v>688</v>
      </c>
      <c r="C270" s="99" t="s">
        <v>689</v>
      </c>
      <c r="D270" s="100">
        <v>144.39099999999999</v>
      </c>
      <c r="E270" s="100">
        <v>84.08</v>
      </c>
      <c r="F270" s="101">
        <f t="shared" si="12"/>
        <v>12140.395279999999</v>
      </c>
      <c r="G270" s="102">
        <f t="shared" si="13"/>
        <v>3.4813221030124812E-4</v>
      </c>
      <c r="H270" s="102">
        <v>1.7126546146527116E-2</v>
      </c>
      <c r="I270" s="103">
        <f t="shared" si="14"/>
        <v>5.9623023648168084E-6</v>
      </c>
      <c r="J270" s="103">
        <v>0.10994999999999999</v>
      </c>
      <c r="K270" s="103">
        <f t="shared" si="15"/>
        <v>3.8277136522622227E-5</v>
      </c>
    </row>
    <row r="271" spans="2:11" ht="15" customHeight="1">
      <c r="B271" s="98" t="s">
        <v>690</v>
      </c>
      <c r="C271" s="99" t="s">
        <v>691</v>
      </c>
      <c r="D271" s="100">
        <v>827.97500000000002</v>
      </c>
      <c r="E271" s="100">
        <v>235.99</v>
      </c>
      <c r="F271" s="101">
        <f t="shared" si="12"/>
        <v>195393.82025000002</v>
      </c>
      <c r="G271" s="102">
        <f t="shared" si="13"/>
        <v>5.6030204086433407E-3</v>
      </c>
      <c r="H271" s="102">
        <v>6.7799483028941907E-3</v>
      </c>
      <c r="I271" s="103">
        <f t="shared" si="14"/>
        <v>3.798818871066293E-5</v>
      </c>
      <c r="J271" s="103">
        <v>0.15060000000000001</v>
      </c>
      <c r="K271" s="103">
        <f t="shared" si="15"/>
        <v>8.4381487354168714E-4</v>
      </c>
    </row>
    <row r="272" spans="2:11" ht="15" customHeight="1">
      <c r="B272" s="98" t="s">
        <v>692</v>
      </c>
      <c r="C272" s="99" t="s">
        <v>693</v>
      </c>
      <c r="D272" s="100">
        <v>653.54100000000005</v>
      </c>
      <c r="E272" s="100">
        <v>11.33</v>
      </c>
      <c r="F272" s="101">
        <f t="shared" ref="F272:F335" si="16">D272*E272</f>
        <v>7404.6195300000009</v>
      </c>
      <c r="G272" s="102" t="str">
        <f t="shared" ref="G272:G335" si="17">IF(AND(ISNUMBER($J272)), IF(AND($J272&lt;=20%,$J272&gt;0%), $F272/SUMIFS($F$15:$F$517,$J$15:$J$517, "&gt;"&amp;0%,$J$15:$J$517, "&lt;="&amp;20%),""),"")</f>
        <v/>
      </c>
      <c r="H272" s="102" t="s">
        <v>243</v>
      </c>
      <c r="I272" s="103" t="str">
        <f t="shared" ref="I272:I335" si="18">IFERROR(G272*H272,"")</f>
        <v/>
      </c>
      <c r="J272" s="103">
        <v>-4.7500000000000001E-2</v>
      </c>
      <c r="K272" s="103" t="str">
        <f t="shared" ref="K272:K335" si="19">IFERROR(G272*J272,"")</f>
        <v/>
      </c>
    </row>
    <row r="273" spans="2:11" ht="15" customHeight="1">
      <c r="B273" s="98" t="s">
        <v>694</v>
      </c>
      <c r="C273" s="99" t="s">
        <v>695</v>
      </c>
      <c r="D273" s="100">
        <v>243.56700000000001</v>
      </c>
      <c r="E273" s="100">
        <v>97.814400000000006</v>
      </c>
      <c r="F273" s="101">
        <f t="shared" si="16"/>
        <v>23824.359964800002</v>
      </c>
      <c r="G273" s="102">
        <f t="shared" si="17"/>
        <v>6.8317603358614793E-4</v>
      </c>
      <c r="H273" s="102">
        <v>2.067589230215592E-2</v>
      </c>
      <c r="I273" s="103">
        <f t="shared" si="18"/>
        <v>1.4125274093841249E-5</v>
      </c>
      <c r="J273" s="103">
        <v>0.1198</v>
      </c>
      <c r="K273" s="103">
        <f t="shared" si="19"/>
        <v>8.1844488823620522E-5</v>
      </c>
    </row>
    <row r="274" spans="2:11" ht="15" customHeight="1">
      <c r="B274" s="98" t="s">
        <v>696</v>
      </c>
      <c r="C274" s="99" t="s">
        <v>697</v>
      </c>
      <c r="D274" s="100">
        <v>156.55799999999999</v>
      </c>
      <c r="E274" s="100">
        <v>118.1</v>
      </c>
      <c r="F274" s="101">
        <f t="shared" si="16"/>
        <v>18489.499799999998</v>
      </c>
      <c r="G274" s="102">
        <f t="shared" si="17"/>
        <v>5.3019611670654637E-4</v>
      </c>
      <c r="H274" s="102">
        <v>2.7434377646062661E-2</v>
      </c>
      <c r="I274" s="103">
        <f t="shared" si="18"/>
        <v>1.4545600492203305E-5</v>
      </c>
      <c r="J274" s="103">
        <v>7.3300000000000004E-2</v>
      </c>
      <c r="K274" s="103">
        <f t="shared" si="19"/>
        <v>3.8863375354589848E-5</v>
      </c>
    </row>
    <row r="275" spans="2:11" ht="15" customHeight="1">
      <c r="B275" s="98" t="s">
        <v>698</v>
      </c>
      <c r="C275" s="99" t="s">
        <v>699</v>
      </c>
      <c r="D275" s="100">
        <v>625.77599999999995</v>
      </c>
      <c r="E275" s="100">
        <v>10.39</v>
      </c>
      <c r="F275" s="101">
        <f t="shared" si="16"/>
        <v>6501.8126400000001</v>
      </c>
      <c r="G275" s="102" t="str">
        <f t="shared" si="17"/>
        <v/>
      </c>
      <c r="H275" s="102">
        <v>1.9249278152069296E-2</v>
      </c>
      <c r="I275" s="103" t="str">
        <f t="shared" si="18"/>
        <v/>
      </c>
      <c r="J275" s="103">
        <v>0.45419999999999999</v>
      </c>
      <c r="K275" s="103" t="str">
        <f t="shared" si="19"/>
        <v/>
      </c>
    </row>
    <row r="276" spans="2:11" ht="15" customHeight="1">
      <c r="B276" s="98" t="s">
        <v>700</v>
      </c>
      <c r="C276" s="99" t="s">
        <v>701</v>
      </c>
      <c r="D276" s="100">
        <v>329.31200000000001</v>
      </c>
      <c r="E276" s="100">
        <v>140.93</v>
      </c>
      <c r="F276" s="101">
        <f t="shared" si="16"/>
        <v>46409.940160000006</v>
      </c>
      <c r="G276" s="102">
        <f t="shared" si="17"/>
        <v>1.3308294067217114E-3</v>
      </c>
      <c r="H276" s="102">
        <v>8.5148655360817414E-3</v>
      </c>
      <c r="I276" s="103">
        <f t="shared" si="18"/>
        <v>1.1331833449698812E-5</v>
      </c>
      <c r="J276" s="103">
        <v>4.3700000000000003E-2</v>
      </c>
      <c r="K276" s="103">
        <f t="shared" si="19"/>
        <v>5.8157245073738788E-5</v>
      </c>
    </row>
    <row r="277" spans="2:11" ht="15" customHeight="1">
      <c r="B277" s="98" t="s">
        <v>702</v>
      </c>
      <c r="C277" s="99" t="s">
        <v>703</v>
      </c>
      <c r="D277" s="100">
        <v>265.73500000000001</v>
      </c>
      <c r="E277" s="100">
        <v>139.33000000000001</v>
      </c>
      <c r="F277" s="101">
        <f t="shared" si="16"/>
        <v>37024.857550000008</v>
      </c>
      <c r="G277" s="102">
        <f t="shared" si="17"/>
        <v>1.0617072342120938E-3</v>
      </c>
      <c r="H277" s="102">
        <v>5.4546759491853865E-3</v>
      </c>
      <c r="I277" s="103">
        <f t="shared" si="18"/>
        <v>5.7912689155328438E-6</v>
      </c>
      <c r="J277" s="103">
        <v>0.12240000000000001</v>
      </c>
      <c r="K277" s="103">
        <f t="shared" si="19"/>
        <v>1.299529654675603E-4</v>
      </c>
    </row>
    <row r="278" spans="2:11" ht="15" customHeight="1">
      <c r="B278" s="98" t="s">
        <v>1194</v>
      </c>
      <c r="C278" s="99" t="s">
        <v>1195</v>
      </c>
      <c r="D278" s="100">
        <v>24.710999999999999</v>
      </c>
      <c r="E278" s="100">
        <v>1488.66</v>
      </c>
      <c r="F278" s="101">
        <f t="shared" si="16"/>
        <v>36786.277260000003</v>
      </c>
      <c r="G278" s="102" t="str">
        <f t="shared" si="17"/>
        <v/>
      </c>
      <c r="H278" s="102" t="s">
        <v>243</v>
      </c>
      <c r="I278" s="103" t="str">
        <f t="shared" si="18"/>
        <v/>
      </c>
      <c r="J278" s="103" t="s">
        <v>243</v>
      </c>
      <c r="K278" s="103" t="str">
        <f t="shared" si="19"/>
        <v/>
      </c>
    </row>
    <row r="279" spans="2:11" ht="15" customHeight="1">
      <c r="B279" s="98" t="s">
        <v>706</v>
      </c>
      <c r="C279" s="99" t="s">
        <v>707</v>
      </c>
      <c r="D279" s="100">
        <v>572.42700000000002</v>
      </c>
      <c r="E279" s="100">
        <v>62.84</v>
      </c>
      <c r="F279" s="101">
        <f t="shared" si="16"/>
        <v>35971.312680000003</v>
      </c>
      <c r="G279" s="102" t="str">
        <f t="shared" si="17"/>
        <v/>
      </c>
      <c r="H279" s="102">
        <v>2.4824952259707194E-2</v>
      </c>
      <c r="I279" s="103" t="str">
        <f t="shared" si="18"/>
        <v/>
      </c>
      <c r="J279" s="103" t="s">
        <v>243</v>
      </c>
      <c r="K279" s="103" t="str">
        <f t="shared" si="19"/>
        <v/>
      </c>
    </row>
    <row r="280" spans="2:11" ht="15" customHeight="1">
      <c r="B280" s="98" t="s">
        <v>708</v>
      </c>
      <c r="C280" s="99" t="s">
        <v>709</v>
      </c>
      <c r="D280" s="100">
        <v>166.85400000000001</v>
      </c>
      <c r="E280" s="100">
        <v>151.36000000000001</v>
      </c>
      <c r="F280" s="101">
        <f t="shared" si="16"/>
        <v>25255.021440000004</v>
      </c>
      <c r="G280" s="102">
        <f t="shared" si="17"/>
        <v>7.2420100271336572E-4</v>
      </c>
      <c r="H280" s="102">
        <v>3.5676532769556027E-2</v>
      </c>
      <c r="I280" s="103">
        <f t="shared" si="18"/>
        <v>2.5836980805048725E-5</v>
      </c>
      <c r="J280" s="103">
        <v>5.8200000000000002E-2</v>
      </c>
      <c r="K280" s="103">
        <f t="shared" si="19"/>
        <v>4.2148498357917884E-5</v>
      </c>
    </row>
    <row r="281" spans="2:11" ht="15" customHeight="1">
      <c r="B281" s="98" t="s">
        <v>710</v>
      </c>
      <c r="C281" s="99" t="s">
        <v>27</v>
      </c>
      <c r="D281" s="100">
        <v>555.63900000000001</v>
      </c>
      <c r="E281" s="100">
        <v>53.41</v>
      </c>
      <c r="F281" s="101">
        <f t="shared" si="16"/>
        <v>29676.67899</v>
      </c>
      <c r="G281" s="102">
        <f t="shared" si="17"/>
        <v>8.5099435503629777E-4</v>
      </c>
      <c r="H281" s="102">
        <v>4.1003557386257258E-2</v>
      </c>
      <c r="I281" s="103">
        <f t="shared" si="18"/>
        <v>3.4893795872111818E-5</v>
      </c>
      <c r="J281" s="103">
        <v>7.1300000000000002E-2</v>
      </c>
      <c r="K281" s="103">
        <f t="shared" si="19"/>
        <v>6.0675897514088031E-5</v>
      </c>
    </row>
    <row r="282" spans="2:11" ht="15" customHeight="1">
      <c r="B282" s="98" t="s">
        <v>712</v>
      </c>
      <c r="C282" s="99" t="s">
        <v>713</v>
      </c>
      <c r="D282" s="100">
        <v>684.04499999999996</v>
      </c>
      <c r="E282" s="100">
        <v>36.49</v>
      </c>
      <c r="F282" s="101">
        <f t="shared" si="16"/>
        <v>24960.802049999998</v>
      </c>
      <c r="G282" s="102" t="str">
        <f t="shared" si="17"/>
        <v/>
      </c>
      <c r="H282" s="102">
        <v>3.8366675801589471E-2</v>
      </c>
      <c r="I282" s="103" t="str">
        <f t="shared" si="18"/>
        <v/>
      </c>
      <c r="J282" s="103">
        <v>0.25</v>
      </c>
      <c r="K282" s="103" t="str">
        <f t="shared" si="19"/>
        <v/>
      </c>
    </row>
    <row r="283" spans="2:11" ht="15" customHeight="1">
      <c r="B283" s="98" t="s">
        <v>714</v>
      </c>
      <c r="C283" s="99" t="s">
        <v>715</v>
      </c>
      <c r="D283" s="100">
        <v>1245.8530000000001</v>
      </c>
      <c r="E283" s="100">
        <v>68.61</v>
      </c>
      <c r="F283" s="101">
        <f t="shared" si="16"/>
        <v>85477.974329999997</v>
      </c>
      <c r="G283" s="102">
        <f t="shared" si="17"/>
        <v>2.4511258035064777E-3</v>
      </c>
      <c r="H283" s="102">
        <v>4.4891415245591024E-2</v>
      </c>
      <c r="I283" s="103">
        <f t="shared" si="18"/>
        <v>1.1003450626439224E-4</v>
      </c>
      <c r="J283" s="103">
        <v>0.14044999999999999</v>
      </c>
      <c r="K283" s="103">
        <f t="shared" si="19"/>
        <v>3.4426061910248476E-4</v>
      </c>
    </row>
    <row r="284" spans="2:11" ht="15" customHeight="1">
      <c r="B284" s="98" t="s">
        <v>716</v>
      </c>
      <c r="C284" s="99" t="s">
        <v>717</v>
      </c>
      <c r="D284" s="100">
        <v>139.21600000000001</v>
      </c>
      <c r="E284" s="100">
        <v>58.5</v>
      </c>
      <c r="F284" s="101">
        <f t="shared" si="16"/>
        <v>8144.1360000000004</v>
      </c>
      <c r="G284" s="102" t="str">
        <f t="shared" si="17"/>
        <v/>
      </c>
      <c r="H284" s="102">
        <v>4.786324786324786E-2</v>
      </c>
      <c r="I284" s="103" t="str">
        <f t="shared" si="18"/>
        <v/>
      </c>
      <c r="J284" s="103">
        <v>0.25989999999999996</v>
      </c>
      <c r="K284" s="103" t="str">
        <f t="shared" si="19"/>
        <v/>
      </c>
    </row>
    <row r="285" spans="2:11" ht="15" customHeight="1">
      <c r="B285" s="98" t="s">
        <v>718</v>
      </c>
      <c r="C285" s="99" t="s">
        <v>719</v>
      </c>
      <c r="D285" s="100">
        <v>1449.2539999999999</v>
      </c>
      <c r="E285" s="100">
        <v>13.18</v>
      </c>
      <c r="F285" s="101">
        <f t="shared" si="16"/>
        <v>19101.167719999998</v>
      </c>
      <c r="G285" s="102">
        <f t="shared" si="17"/>
        <v>5.4773601553593338E-4</v>
      </c>
      <c r="H285" s="102">
        <v>4.7040971168437029E-2</v>
      </c>
      <c r="I285" s="103">
        <f t="shared" si="18"/>
        <v>2.5766034114740418E-5</v>
      </c>
      <c r="J285" s="103">
        <v>4.4600000000000001E-2</v>
      </c>
      <c r="K285" s="103">
        <f t="shared" si="19"/>
        <v>2.4429026292902628E-5</v>
      </c>
    </row>
    <row r="286" spans="2:11" ht="15" customHeight="1">
      <c r="B286" s="98" t="s">
        <v>720</v>
      </c>
      <c r="C286" s="99" t="s">
        <v>721</v>
      </c>
      <c r="D286" s="100">
        <v>597.91600000000005</v>
      </c>
      <c r="E286" s="100">
        <v>104.25</v>
      </c>
      <c r="F286" s="101">
        <f t="shared" si="16"/>
        <v>62332.743000000002</v>
      </c>
      <c r="G286" s="102">
        <f t="shared" si="17"/>
        <v>1.7874241401742608E-3</v>
      </c>
      <c r="H286" s="102">
        <v>2.3405275779376497E-2</v>
      </c>
      <c r="I286" s="103">
        <f t="shared" si="18"/>
        <v>4.1835154935493487E-5</v>
      </c>
      <c r="J286" s="103">
        <v>0.14679999999999999</v>
      </c>
      <c r="K286" s="103">
        <f t="shared" si="19"/>
        <v>2.6239386377758145E-4</v>
      </c>
    </row>
    <row r="287" spans="2:11" ht="15" customHeight="1">
      <c r="B287" s="98" t="s">
        <v>722</v>
      </c>
      <c r="C287" s="99" t="s">
        <v>723</v>
      </c>
      <c r="D287" s="100">
        <v>145.59700000000001</v>
      </c>
      <c r="E287" s="100">
        <v>231.82</v>
      </c>
      <c r="F287" s="101">
        <f t="shared" si="16"/>
        <v>33752.296540000003</v>
      </c>
      <c r="G287" s="102">
        <f t="shared" si="17"/>
        <v>9.6786482863294148E-4</v>
      </c>
      <c r="H287" s="102" t="s">
        <v>243</v>
      </c>
      <c r="I287" s="103" t="str">
        <f t="shared" si="18"/>
        <v/>
      </c>
      <c r="J287" s="103">
        <v>5.3550000000000007E-2</v>
      </c>
      <c r="K287" s="103">
        <f t="shared" si="19"/>
        <v>5.1829161573294025E-5</v>
      </c>
    </row>
    <row r="288" spans="2:11" ht="15" customHeight="1">
      <c r="B288" s="98" t="s">
        <v>724</v>
      </c>
      <c r="C288" s="99" t="s">
        <v>725</v>
      </c>
      <c r="D288" s="100">
        <v>204.59200000000001</v>
      </c>
      <c r="E288" s="100">
        <v>83.98</v>
      </c>
      <c r="F288" s="101">
        <f t="shared" si="16"/>
        <v>17181.636160000002</v>
      </c>
      <c r="G288" s="102">
        <f t="shared" si="17"/>
        <v>4.9269243999217223E-4</v>
      </c>
      <c r="H288" s="102">
        <v>3.5722791140747792E-2</v>
      </c>
      <c r="I288" s="103">
        <f t="shared" si="18"/>
        <v>1.7600349130465783E-5</v>
      </c>
      <c r="J288" s="103">
        <v>0.10800000000000001</v>
      </c>
      <c r="K288" s="103">
        <f t="shared" si="19"/>
        <v>5.3210783519154607E-5</v>
      </c>
    </row>
    <row r="289" spans="2:11" ht="15" customHeight="1">
      <c r="B289" s="98" t="s">
        <v>726</v>
      </c>
      <c r="C289" s="99" t="s">
        <v>727</v>
      </c>
      <c r="D289" s="100">
        <v>89.798000000000002</v>
      </c>
      <c r="E289" s="100">
        <v>182.56</v>
      </c>
      <c r="F289" s="101">
        <f t="shared" si="16"/>
        <v>16393.52288</v>
      </c>
      <c r="G289" s="102">
        <f t="shared" si="17"/>
        <v>4.7009287780277971E-4</v>
      </c>
      <c r="H289" s="102">
        <v>2.7388255915863278E-2</v>
      </c>
      <c r="I289" s="103">
        <f t="shared" si="18"/>
        <v>1.2875024041487174E-5</v>
      </c>
      <c r="J289" s="103">
        <v>4.4400000000000002E-2</v>
      </c>
      <c r="K289" s="103">
        <f t="shared" si="19"/>
        <v>2.0872123774443419E-5</v>
      </c>
    </row>
    <row r="290" spans="2:11" ht="15" customHeight="1">
      <c r="B290" s="98" t="s">
        <v>728</v>
      </c>
      <c r="C290" s="99" t="s">
        <v>729</v>
      </c>
      <c r="D290" s="100">
        <v>359.96300000000002</v>
      </c>
      <c r="E290" s="100">
        <v>118.56</v>
      </c>
      <c r="F290" s="101">
        <f t="shared" si="16"/>
        <v>42677.213280000004</v>
      </c>
      <c r="G290" s="102" t="str">
        <f t="shared" si="17"/>
        <v/>
      </c>
      <c r="H290" s="102">
        <v>3.3063427800269905E-2</v>
      </c>
      <c r="I290" s="103" t="str">
        <f t="shared" si="18"/>
        <v/>
      </c>
      <c r="J290" s="103" t="s">
        <v>243</v>
      </c>
      <c r="K290" s="103" t="str">
        <f t="shared" si="19"/>
        <v/>
      </c>
    </row>
    <row r="291" spans="2:11" ht="15" customHeight="1">
      <c r="B291" s="98" t="s">
        <v>730</v>
      </c>
      <c r="C291" s="99" t="s">
        <v>731</v>
      </c>
      <c r="D291" s="100">
        <v>1116</v>
      </c>
      <c r="E291" s="100">
        <v>199.18</v>
      </c>
      <c r="F291" s="101">
        <f t="shared" si="16"/>
        <v>222284.88</v>
      </c>
      <c r="G291" s="102">
        <f t="shared" si="17"/>
        <v>6.3741356690774666E-3</v>
      </c>
      <c r="H291" s="102">
        <v>1.706998694648057E-2</v>
      </c>
      <c r="I291" s="103">
        <f t="shared" si="18"/>
        <v>1.0880641266624855E-4</v>
      </c>
      <c r="J291" s="103">
        <v>0.11874999999999999</v>
      </c>
      <c r="K291" s="103">
        <f t="shared" si="19"/>
        <v>7.5692861070294907E-4</v>
      </c>
    </row>
    <row r="292" spans="2:11" ht="15" customHeight="1">
      <c r="B292" s="98" t="s">
        <v>734</v>
      </c>
      <c r="C292" s="99" t="s">
        <v>735</v>
      </c>
      <c r="D292" s="100">
        <v>333.57499999999999</v>
      </c>
      <c r="E292" s="100">
        <v>145.32</v>
      </c>
      <c r="F292" s="101">
        <f t="shared" si="16"/>
        <v>48475.118999999999</v>
      </c>
      <c r="G292" s="102" t="str">
        <f t="shared" si="17"/>
        <v/>
      </c>
      <c r="H292" s="102">
        <v>1.0115606936416185E-2</v>
      </c>
      <c r="I292" s="103" t="str">
        <f t="shared" si="18"/>
        <v/>
      </c>
      <c r="J292" s="103">
        <v>1.88</v>
      </c>
      <c r="K292" s="103" t="str">
        <f t="shared" si="19"/>
        <v/>
      </c>
    </row>
    <row r="293" spans="2:11" ht="15" customHeight="1">
      <c r="B293" s="98" t="s">
        <v>736</v>
      </c>
      <c r="C293" s="99" t="s">
        <v>737</v>
      </c>
      <c r="D293" s="100">
        <v>82.587000000000003</v>
      </c>
      <c r="E293" s="100">
        <v>487.2</v>
      </c>
      <c r="F293" s="101">
        <f t="shared" si="16"/>
        <v>40236.386400000003</v>
      </c>
      <c r="G293" s="102">
        <f t="shared" si="17"/>
        <v>1.1537995105516106E-3</v>
      </c>
      <c r="H293" s="102" t="s">
        <v>243</v>
      </c>
      <c r="I293" s="103" t="str">
        <f t="shared" si="18"/>
        <v/>
      </c>
      <c r="J293" s="103">
        <v>0.11109999999999999</v>
      </c>
      <c r="K293" s="103">
        <f t="shared" si="19"/>
        <v>1.2818712562228394E-4</v>
      </c>
    </row>
    <row r="294" spans="2:11" ht="15" customHeight="1">
      <c r="B294" s="98" t="s">
        <v>738</v>
      </c>
      <c r="C294" s="99" t="s">
        <v>739</v>
      </c>
      <c r="D294" s="100">
        <v>1132.7</v>
      </c>
      <c r="E294" s="100">
        <v>77.849999999999994</v>
      </c>
      <c r="F294" s="101">
        <f t="shared" si="16"/>
        <v>88180.694999999992</v>
      </c>
      <c r="G294" s="102">
        <f t="shared" si="17"/>
        <v>2.5286277380789056E-3</v>
      </c>
      <c r="H294" s="102">
        <v>2.9287090558766857E-2</v>
      </c>
      <c r="I294" s="103">
        <f t="shared" si="18"/>
        <v>7.4056149554526705E-5</v>
      </c>
      <c r="J294" s="103">
        <v>0.10710000000000001</v>
      </c>
      <c r="K294" s="103">
        <f t="shared" si="19"/>
        <v>2.7081603074825085E-4</v>
      </c>
    </row>
    <row r="295" spans="2:11" ht="15" customHeight="1">
      <c r="B295" s="98" t="s">
        <v>740</v>
      </c>
      <c r="C295" s="99" t="s">
        <v>741</v>
      </c>
      <c r="D295" s="100">
        <v>942.86</v>
      </c>
      <c r="E295" s="100">
        <v>14.21</v>
      </c>
      <c r="F295" s="101">
        <f t="shared" si="16"/>
        <v>13398.0406</v>
      </c>
      <c r="G295" s="102">
        <f t="shared" si="17"/>
        <v>3.8419585031698088E-4</v>
      </c>
      <c r="H295" s="102">
        <v>5.7705840957072478E-2</v>
      </c>
      <c r="I295" s="103">
        <f t="shared" si="18"/>
        <v>2.2170344634758922E-5</v>
      </c>
      <c r="J295" s="103">
        <v>0.19109999999999999</v>
      </c>
      <c r="K295" s="103">
        <f t="shared" si="19"/>
        <v>7.3419826995575044E-5</v>
      </c>
    </row>
    <row r="296" spans="2:11" ht="15" customHeight="1">
      <c r="B296" s="98" t="s">
        <v>742</v>
      </c>
      <c r="C296" s="99" t="s">
        <v>743</v>
      </c>
      <c r="D296" s="100">
        <v>231.15</v>
      </c>
      <c r="E296" s="100">
        <v>34.369999999999997</v>
      </c>
      <c r="F296" s="101">
        <f t="shared" si="16"/>
        <v>7944.6254999999992</v>
      </c>
      <c r="G296" s="102">
        <f t="shared" si="17"/>
        <v>2.2781630841023641E-4</v>
      </c>
      <c r="H296" s="102">
        <v>1.5129473377945884E-2</v>
      </c>
      <c r="I296" s="103">
        <f t="shared" si="18"/>
        <v>3.4467407731545809E-6</v>
      </c>
      <c r="J296" s="103">
        <v>6.8400000000000002E-2</v>
      </c>
      <c r="K296" s="103">
        <f t="shared" si="19"/>
        <v>1.5582635495260172E-5</v>
      </c>
    </row>
    <row r="297" spans="2:11" ht="15" customHeight="1">
      <c r="B297" s="98" t="s">
        <v>742</v>
      </c>
      <c r="C297" s="99" t="s">
        <v>744</v>
      </c>
      <c r="D297" s="100">
        <v>235.58099999999999</v>
      </c>
      <c r="E297" s="100">
        <v>32.020000000000003</v>
      </c>
      <c r="F297" s="101">
        <f t="shared" si="16"/>
        <v>7543.3036200000006</v>
      </c>
      <c r="G297" s="102">
        <f t="shared" si="17"/>
        <v>2.1630819274312844E-4</v>
      </c>
      <c r="H297" s="102">
        <v>1.623985009369144E-2</v>
      </c>
      <c r="I297" s="103">
        <f t="shared" si="18"/>
        <v>3.5128126241857206E-6</v>
      </c>
      <c r="J297" s="103">
        <v>6.8400000000000002E-2</v>
      </c>
      <c r="K297" s="103">
        <f t="shared" si="19"/>
        <v>1.4795480383629986E-5</v>
      </c>
    </row>
    <row r="298" spans="2:11" ht="15" customHeight="1">
      <c r="B298" s="98" t="s">
        <v>745</v>
      </c>
      <c r="C298" s="99" t="s">
        <v>746</v>
      </c>
      <c r="D298" s="100">
        <v>301.25900000000001</v>
      </c>
      <c r="E298" s="100">
        <v>73.31</v>
      </c>
      <c r="F298" s="101">
        <f t="shared" si="16"/>
        <v>22085.297290000002</v>
      </c>
      <c r="G298" s="102">
        <f t="shared" si="17"/>
        <v>6.3330749810049569E-4</v>
      </c>
      <c r="H298" s="102">
        <v>3.7648342654480964E-2</v>
      </c>
      <c r="I298" s="103">
        <f t="shared" si="18"/>
        <v>2.3842977694139515E-5</v>
      </c>
      <c r="J298" s="103">
        <v>8.0649999999999999E-2</v>
      </c>
      <c r="K298" s="103">
        <f t="shared" si="19"/>
        <v>5.1076249721804979E-5</v>
      </c>
    </row>
    <row r="299" spans="2:11" ht="15" customHeight="1">
      <c r="B299" s="98" t="s">
        <v>747</v>
      </c>
      <c r="C299" s="99" t="s">
        <v>748</v>
      </c>
      <c r="D299" s="100">
        <v>429.041</v>
      </c>
      <c r="E299" s="100">
        <v>18.79</v>
      </c>
      <c r="F299" s="101">
        <f t="shared" si="16"/>
        <v>8061.6803899999995</v>
      </c>
      <c r="G299" s="102" t="str">
        <f t="shared" si="17"/>
        <v/>
      </c>
      <c r="H299" s="102" t="s">
        <v>243</v>
      </c>
      <c r="I299" s="103" t="str">
        <f t="shared" si="18"/>
        <v/>
      </c>
      <c r="J299" s="103">
        <v>0.51829999999999998</v>
      </c>
      <c r="K299" s="103" t="str">
        <f t="shared" si="19"/>
        <v/>
      </c>
    </row>
    <row r="300" spans="2:11" ht="15" customHeight="1">
      <c r="B300" s="98" t="s">
        <v>749</v>
      </c>
      <c r="C300" s="99" t="s">
        <v>750</v>
      </c>
      <c r="D300" s="100">
        <v>1560.46</v>
      </c>
      <c r="E300" s="100">
        <v>39.700000000000003</v>
      </c>
      <c r="F300" s="101">
        <f t="shared" si="16"/>
        <v>61950.262000000002</v>
      </c>
      <c r="G300" s="102">
        <f t="shared" si="17"/>
        <v>1.7764562966356252E-3</v>
      </c>
      <c r="H300" s="102">
        <v>4.9370277078085639E-2</v>
      </c>
      <c r="I300" s="103">
        <f t="shared" si="18"/>
        <v>8.7704139582010703E-5</v>
      </c>
      <c r="J300" s="103">
        <v>2.7050000000000001E-2</v>
      </c>
      <c r="K300" s="103">
        <f t="shared" si="19"/>
        <v>4.8053142823993662E-5</v>
      </c>
    </row>
    <row r="301" spans="2:11" ht="15" customHeight="1">
      <c r="B301" s="98" t="s">
        <v>751</v>
      </c>
      <c r="C301" s="99" t="s">
        <v>752</v>
      </c>
      <c r="D301" s="100">
        <v>120.78400000000001</v>
      </c>
      <c r="E301" s="100">
        <v>81.78</v>
      </c>
      <c r="F301" s="101">
        <f t="shared" si="16"/>
        <v>9877.7155199999997</v>
      </c>
      <c r="G301" s="102" t="str">
        <f t="shared" si="17"/>
        <v/>
      </c>
      <c r="H301" s="102">
        <v>1.5651748593788213E-2</v>
      </c>
      <c r="I301" s="103" t="str">
        <f t="shared" si="18"/>
        <v/>
      </c>
      <c r="J301" s="103" t="s">
        <v>243</v>
      </c>
      <c r="K301" s="103" t="str">
        <f t="shared" si="19"/>
        <v/>
      </c>
    </row>
    <row r="302" spans="2:11" ht="15" customHeight="1">
      <c r="B302" s="98" t="s">
        <v>753</v>
      </c>
      <c r="C302" s="99" t="s">
        <v>754</v>
      </c>
      <c r="D302" s="100">
        <v>626.14599999999996</v>
      </c>
      <c r="E302" s="100">
        <v>24.98</v>
      </c>
      <c r="F302" s="101">
        <f t="shared" si="16"/>
        <v>15641.127079999998</v>
      </c>
      <c r="G302" s="102">
        <f t="shared" si="17"/>
        <v>4.4851753310977096E-4</v>
      </c>
      <c r="H302" s="102">
        <v>2.0016012810248198E-2</v>
      </c>
      <c r="I302" s="103">
        <f t="shared" si="18"/>
        <v>8.977532688346096E-6</v>
      </c>
      <c r="J302" s="103">
        <v>0.1016</v>
      </c>
      <c r="K302" s="103">
        <f t="shared" si="19"/>
        <v>4.556938136395273E-5</v>
      </c>
    </row>
    <row r="303" spans="2:11" ht="15" customHeight="1">
      <c r="B303" s="98" t="s">
        <v>755</v>
      </c>
      <c r="C303" s="99" t="s">
        <v>756</v>
      </c>
      <c r="D303" s="100">
        <v>223.3</v>
      </c>
      <c r="E303" s="100">
        <v>115.31</v>
      </c>
      <c r="F303" s="101">
        <f t="shared" si="16"/>
        <v>25748.723000000002</v>
      </c>
      <c r="G303" s="102">
        <f t="shared" si="17"/>
        <v>7.3835815421856559E-4</v>
      </c>
      <c r="H303" s="102">
        <v>4.3014482698811897E-2</v>
      </c>
      <c r="I303" s="103">
        <f t="shared" si="18"/>
        <v>3.1760094050161174E-5</v>
      </c>
      <c r="J303" s="103">
        <v>5.8799999999999998E-2</v>
      </c>
      <c r="K303" s="103">
        <f t="shared" si="19"/>
        <v>4.3415459468051656E-5</v>
      </c>
    </row>
    <row r="304" spans="2:11" ht="15" customHeight="1">
      <c r="B304" s="98" t="s">
        <v>757</v>
      </c>
      <c r="C304" s="99" t="s">
        <v>758</v>
      </c>
      <c r="D304" s="100">
        <v>401.08300000000003</v>
      </c>
      <c r="E304" s="100">
        <v>213.34</v>
      </c>
      <c r="F304" s="101">
        <f t="shared" si="16"/>
        <v>85567.047220000008</v>
      </c>
      <c r="G304" s="102">
        <f t="shared" si="17"/>
        <v>2.4536800154047272E-3</v>
      </c>
      <c r="H304" s="102">
        <v>1.406206056060748E-2</v>
      </c>
      <c r="I304" s="103">
        <f t="shared" si="18"/>
        <v>3.4503796972973569E-5</v>
      </c>
      <c r="J304" s="103">
        <v>0.11109999999999999</v>
      </c>
      <c r="K304" s="103">
        <f t="shared" si="19"/>
        <v>2.7260384971146515E-4</v>
      </c>
    </row>
    <row r="305" spans="2:11" ht="15" customHeight="1">
      <c r="B305" s="98" t="s">
        <v>759</v>
      </c>
      <c r="C305" s="99" t="s">
        <v>760</v>
      </c>
      <c r="D305" s="100">
        <v>182.35400000000001</v>
      </c>
      <c r="E305" s="100">
        <v>257.27999999999997</v>
      </c>
      <c r="F305" s="101">
        <f t="shared" si="16"/>
        <v>46916.037120000001</v>
      </c>
      <c r="G305" s="102">
        <f t="shared" si="17"/>
        <v>1.3453420028314766E-3</v>
      </c>
      <c r="H305" s="102">
        <v>1.5702736318407962E-2</v>
      </c>
      <c r="I305" s="103">
        <f t="shared" si="18"/>
        <v>2.1125550728541535E-5</v>
      </c>
      <c r="J305" s="103">
        <v>0.11205</v>
      </c>
      <c r="K305" s="103">
        <f t="shared" si="19"/>
        <v>1.5074557141726695E-4</v>
      </c>
    </row>
    <row r="306" spans="2:11" ht="15" customHeight="1">
      <c r="B306" s="98" t="s">
        <v>761</v>
      </c>
      <c r="C306" s="99" t="s">
        <v>762</v>
      </c>
      <c r="D306" s="100">
        <v>449.83100000000002</v>
      </c>
      <c r="E306" s="100">
        <v>14.96</v>
      </c>
      <c r="F306" s="101">
        <f t="shared" si="16"/>
        <v>6729.4717600000004</v>
      </c>
      <c r="G306" s="102">
        <f t="shared" si="17"/>
        <v>1.9297113676587232E-4</v>
      </c>
      <c r="H306" s="102">
        <v>5.4812834224598928E-2</v>
      </c>
      <c r="I306" s="103">
        <f t="shared" si="18"/>
        <v>1.0577294929680166E-5</v>
      </c>
      <c r="J306" s="103">
        <v>8.7100000000000011E-2</v>
      </c>
      <c r="K306" s="103">
        <f t="shared" si="19"/>
        <v>1.680778601230748E-5</v>
      </c>
    </row>
    <row r="307" spans="2:11" ht="15" customHeight="1">
      <c r="B307" s="98" t="s">
        <v>765</v>
      </c>
      <c r="C307" s="99" t="s">
        <v>766</v>
      </c>
      <c r="D307" s="100">
        <v>279.54700000000003</v>
      </c>
      <c r="E307" s="100">
        <v>657.21</v>
      </c>
      <c r="F307" s="101">
        <f t="shared" si="16"/>
        <v>183721.08387000003</v>
      </c>
      <c r="G307" s="102">
        <f t="shared" si="17"/>
        <v>5.2682985628952359E-3</v>
      </c>
      <c r="H307" s="102">
        <v>5.4777011914000093E-3</v>
      </c>
      <c r="I307" s="103">
        <f t="shared" si="18"/>
        <v>2.8858165314622191E-5</v>
      </c>
      <c r="J307" s="103">
        <v>0.1515</v>
      </c>
      <c r="K307" s="103">
        <f t="shared" si="19"/>
        <v>7.9814723227862822E-4</v>
      </c>
    </row>
    <row r="308" spans="2:11" ht="15" customHeight="1">
      <c r="B308" s="98" t="s">
        <v>767</v>
      </c>
      <c r="C308" s="99" t="s">
        <v>121</v>
      </c>
      <c r="D308" s="100">
        <v>1625.163</v>
      </c>
      <c r="E308" s="100">
        <v>97.19</v>
      </c>
      <c r="F308" s="101">
        <f t="shared" si="16"/>
        <v>157949.59197000001</v>
      </c>
      <c r="G308" s="102">
        <f t="shared" si="17"/>
        <v>4.5292874985118593E-3</v>
      </c>
      <c r="H308" s="102">
        <v>3.4983022944747401E-2</v>
      </c>
      <c r="I308" s="103">
        <f t="shared" si="18"/>
        <v>1.5844816848379793E-4</v>
      </c>
      <c r="J308" s="103">
        <v>9.4899999999999998E-2</v>
      </c>
      <c r="K308" s="103">
        <f t="shared" si="19"/>
        <v>4.2982938360877545E-4</v>
      </c>
    </row>
    <row r="309" spans="2:11" ht="15" customHeight="1">
      <c r="B309" s="98" t="s">
        <v>768</v>
      </c>
      <c r="C309" s="99" t="s">
        <v>769</v>
      </c>
      <c r="D309" s="100">
        <v>536.88599999999997</v>
      </c>
      <c r="E309" s="100">
        <v>91.5</v>
      </c>
      <c r="F309" s="101">
        <f t="shared" si="16"/>
        <v>49125.068999999996</v>
      </c>
      <c r="G309" s="102" t="str">
        <f t="shared" si="17"/>
        <v/>
      </c>
      <c r="H309" s="102">
        <v>1.9759562841530055E-2</v>
      </c>
      <c r="I309" s="103" t="str">
        <f t="shared" si="18"/>
        <v/>
      </c>
      <c r="J309" s="103">
        <v>-9.3900000000000011E-2</v>
      </c>
      <c r="K309" s="103" t="str">
        <f t="shared" si="19"/>
        <v/>
      </c>
    </row>
    <row r="310" spans="2:11" ht="15" customHeight="1">
      <c r="B310" s="98" t="s">
        <v>1288</v>
      </c>
      <c r="C310" s="99" t="s">
        <v>1289</v>
      </c>
      <c r="D310" s="100">
        <v>230.88300000000001</v>
      </c>
      <c r="E310" s="100">
        <v>383.19</v>
      </c>
      <c r="F310" s="101">
        <f t="shared" si="16"/>
        <v>88472.05677000001</v>
      </c>
      <c r="G310" s="102">
        <f t="shared" si="17"/>
        <v>2.5369826898451373E-3</v>
      </c>
      <c r="H310" s="102" t="s">
        <v>243</v>
      </c>
      <c r="I310" s="103" t="str">
        <f t="shared" si="18"/>
        <v/>
      </c>
      <c r="J310" s="103">
        <v>0.19850000000000001</v>
      </c>
      <c r="K310" s="103">
        <f t="shared" si="19"/>
        <v>5.0359106393425975E-4</v>
      </c>
    </row>
    <row r="311" spans="2:11" ht="15" customHeight="1">
      <c r="B311" s="98" t="s">
        <v>770</v>
      </c>
      <c r="C311" s="99" t="s">
        <v>771</v>
      </c>
      <c r="D311" s="100">
        <v>406.06099999999998</v>
      </c>
      <c r="E311" s="100">
        <v>255.08</v>
      </c>
      <c r="F311" s="101">
        <f t="shared" si="16"/>
        <v>103578.03988</v>
      </c>
      <c r="G311" s="102">
        <f t="shared" si="17"/>
        <v>2.9701546885790714E-3</v>
      </c>
      <c r="H311" s="102">
        <v>1.4270032930845224E-2</v>
      </c>
      <c r="I311" s="103">
        <f t="shared" si="18"/>
        <v>4.2384205215727691E-5</v>
      </c>
      <c r="J311" s="103">
        <v>1.985E-2</v>
      </c>
      <c r="K311" s="103">
        <f t="shared" si="19"/>
        <v>5.8957570568294568E-5</v>
      </c>
    </row>
    <row r="312" spans="2:11" ht="15" customHeight="1">
      <c r="B312" s="98" t="s">
        <v>772</v>
      </c>
      <c r="C312" s="99" t="s">
        <v>773</v>
      </c>
      <c r="D312" s="100">
        <v>233.37700000000001</v>
      </c>
      <c r="E312" s="100">
        <v>74.25</v>
      </c>
      <c r="F312" s="101">
        <f t="shared" si="16"/>
        <v>17328.242249999999</v>
      </c>
      <c r="G312" s="102">
        <f t="shared" si="17"/>
        <v>4.9689644661454334E-4</v>
      </c>
      <c r="H312" s="102" t="s">
        <v>243</v>
      </c>
      <c r="I312" s="103" t="str">
        <f t="shared" si="18"/>
        <v/>
      </c>
      <c r="J312" s="103">
        <v>7.3599999999999999E-2</v>
      </c>
      <c r="K312" s="103">
        <f t="shared" si="19"/>
        <v>3.6571578470830386E-5</v>
      </c>
    </row>
    <row r="313" spans="2:11" ht="15" customHeight="1">
      <c r="B313" s="98" t="s">
        <v>774</v>
      </c>
      <c r="C313" s="99" t="s">
        <v>775</v>
      </c>
      <c r="D313" s="100">
        <v>455.02</v>
      </c>
      <c r="E313" s="100">
        <v>36.03</v>
      </c>
      <c r="F313" s="101">
        <f t="shared" si="16"/>
        <v>16394.370599999998</v>
      </c>
      <c r="G313" s="102" t="str">
        <f t="shared" si="17"/>
        <v/>
      </c>
      <c r="H313" s="102">
        <v>4.6627810158201492E-2</v>
      </c>
      <c r="I313" s="103" t="str">
        <f t="shared" si="18"/>
        <v/>
      </c>
      <c r="J313" s="103" t="s">
        <v>243</v>
      </c>
      <c r="K313" s="103" t="str">
        <f t="shared" si="19"/>
        <v/>
      </c>
    </row>
    <row r="314" spans="2:11" ht="15" customHeight="1">
      <c r="B314" s="98" t="s">
        <v>1276</v>
      </c>
      <c r="C314" s="99" t="s">
        <v>1277</v>
      </c>
      <c r="D314" s="100">
        <v>120.59699999999999</v>
      </c>
      <c r="E314" s="100">
        <v>108.79</v>
      </c>
      <c r="F314" s="101">
        <f t="shared" si="16"/>
        <v>13119.74763</v>
      </c>
      <c r="G314" s="102">
        <f t="shared" si="17"/>
        <v>3.7621565325395749E-4</v>
      </c>
      <c r="H314" s="102">
        <v>2.9414468241566317E-3</v>
      </c>
      <c r="I314" s="103">
        <f t="shared" si="18"/>
        <v>1.1066183384618658E-6</v>
      </c>
      <c r="J314" s="103">
        <v>7.1300000000000002E-2</v>
      </c>
      <c r="K314" s="103">
        <f t="shared" si="19"/>
        <v>2.6824176077007171E-5</v>
      </c>
    </row>
    <row r="315" spans="2:11" ht="15" customHeight="1">
      <c r="B315" s="98" t="s">
        <v>776</v>
      </c>
      <c r="C315" s="99" t="s">
        <v>777</v>
      </c>
      <c r="D315" s="100">
        <v>58.893999999999998</v>
      </c>
      <c r="E315" s="100">
        <v>1056.06</v>
      </c>
      <c r="F315" s="101">
        <f t="shared" si="16"/>
        <v>62195.597639999993</v>
      </c>
      <c r="G315" s="102">
        <f t="shared" si="17"/>
        <v>1.7834914249530342E-3</v>
      </c>
      <c r="H315" s="102" t="s">
        <v>243</v>
      </c>
      <c r="I315" s="103" t="str">
        <f t="shared" si="18"/>
        <v/>
      </c>
      <c r="J315" s="103">
        <v>0.11</v>
      </c>
      <c r="K315" s="103">
        <f t="shared" si="19"/>
        <v>1.9618405674483376E-4</v>
      </c>
    </row>
    <row r="316" spans="2:11" ht="15" customHeight="1">
      <c r="B316" s="98" t="s">
        <v>778</v>
      </c>
      <c r="C316" s="99" t="s">
        <v>779</v>
      </c>
      <c r="D316" s="100">
        <v>263.91500000000002</v>
      </c>
      <c r="E316" s="100">
        <v>159.66</v>
      </c>
      <c r="F316" s="101">
        <f t="shared" si="16"/>
        <v>42136.668900000004</v>
      </c>
      <c r="G316" s="102" t="str">
        <f t="shared" si="17"/>
        <v/>
      </c>
      <c r="H316" s="102">
        <v>2.3048979080546161E-2</v>
      </c>
      <c r="I316" s="103" t="str">
        <f t="shared" si="18"/>
        <v/>
      </c>
      <c r="J316" s="103">
        <v>1.69</v>
      </c>
      <c r="K316" s="103" t="str">
        <f t="shared" si="19"/>
        <v/>
      </c>
    </row>
    <row r="317" spans="2:11" ht="15" customHeight="1">
      <c r="B317" s="98" t="s">
        <v>780</v>
      </c>
      <c r="C317" s="99" t="s">
        <v>781</v>
      </c>
      <c r="D317" s="100">
        <v>378.94</v>
      </c>
      <c r="E317" s="100">
        <v>68.665000000000006</v>
      </c>
      <c r="F317" s="101">
        <f t="shared" si="16"/>
        <v>26019.915100000002</v>
      </c>
      <c r="G317" s="102">
        <f t="shared" si="17"/>
        <v>7.4613473010524771E-4</v>
      </c>
      <c r="H317" s="102">
        <v>3.9321342751037644E-2</v>
      </c>
      <c r="I317" s="103">
        <f t="shared" si="18"/>
        <v>2.9339019460921411E-5</v>
      </c>
      <c r="J317" s="103">
        <v>3.9800000000000002E-2</v>
      </c>
      <c r="K317" s="103">
        <f t="shared" si="19"/>
        <v>2.9696162258188861E-5</v>
      </c>
    </row>
    <row r="318" spans="2:11" ht="15" customHeight="1">
      <c r="B318" s="98" t="s">
        <v>782</v>
      </c>
      <c r="C318" s="99" t="s">
        <v>783</v>
      </c>
      <c r="D318" s="100">
        <v>227.83799999999999</v>
      </c>
      <c r="E318" s="100">
        <v>32.24</v>
      </c>
      <c r="F318" s="101">
        <f t="shared" si="16"/>
        <v>7345.49712</v>
      </c>
      <c r="G318" s="102">
        <f t="shared" si="17"/>
        <v>2.1063598747561149E-4</v>
      </c>
      <c r="H318" s="102">
        <v>1.3647642679900743E-2</v>
      </c>
      <c r="I318" s="103">
        <f t="shared" si="18"/>
        <v>2.8746846925951937E-6</v>
      </c>
      <c r="J318" s="103">
        <v>4.165E-2</v>
      </c>
      <c r="K318" s="103">
        <f t="shared" si="19"/>
        <v>8.7729888783592184E-6</v>
      </c>
    </row>
    <row r="319" spans="2:11" ht="15" customHeight="1">
      <c r="B319" s="98" t="s">
        <v>784</v>
      </c>
      <c r="C319" s="99" t="s">
        <v>785</v>
      </c>
      <c r="D319" s="100">
        <v>1355.5740000000001</v>
      </c>
      <c r="E319" s="100">
        <v>33.4</v>
      </c>
      <c r="F319" s="101">
        <f t="shared" si="16"/>
        <v>45276.171600000001</v>
      </c>
      <c r="G319" s="102">
        <f t="shared" si="17"/>
        <v>1.2983179978540698E-3</v>
      </c>
      <c r="H319" s="102">
        <v>2.5748502994011976E-2</v>
      </c>
      <c r="I319" s="103">
        <f t="shared" si="18"/>
        <v>3.3429744854925149E-5</v>
      </c>
      <c r="J319" s="103">
        <v>7.0599999999999996E-2</v>
      </c>
      <c r="K319" s="103">
        <f t="shared" si="19"/>
        <v>9.1661250648497321E-5</v>
      </c>
    </row>
    <row r="320" spans="2:11" ht="15" customHeight="1">
      <c r="B320" s="98" t="s">
        <v>786</v>
      </c>
      <c r="C320" s="99" t="s">
        <v>787</v>
      </c>
      <c r="D320" s="100">
        <v>703.6</v>
      </c>
      <c r="E320" s="100">
        <v>17.98</v>
      </c>
      <c r="F320" s="101">
        <f t="shared" si="16"/>
        <v>12650.728000000001</v>
      </c>
      <c r="G320" s="102" t="str">
        <f t="shared" si="17"/>
        <v/>
      </c>
      <c r="H320" s="102">
        <v>4.449388209121246E-2</v>
      </c>
      <c r="I320" s="103" t="str">
        <f t="shared" si="18"/>
        <v/>
      </c>
      <c r="J320" s="103">
        <v>-4.8999999999999998E-3</v>
      </c>
      <c r="K320" s="103" t="str">
        <f t="shared" si="19"/>
        <v/>
      </c>
    </row>
    <row r="321" spans="2:11" ht="15" customHeight="1">
      <c r="B321" s="98" t="s">
        <v>788</v>
      </c>
      <c r="C321" s="99" t="s">
        <v>789</v>
      </c>
      <c r="D321" s="100">
        <v>224.85499999999999</v>
      </c>
      <c r="E321" s="100">
        <v>60.62</v>
      </c>
      <c r="F321" s="101">
        <f t="shared" si="16"/>
        <v>13630.710099999998</v>
      </c>
      <c r="G321" s="102">
        <f t="shared" si="17"/>
        <v>3.90867770418143E-4</v>
      </c>
      <c r="H321" s="102" t="s">
        <v>243</v>
      </c>
      <c r="I321" s="103" t="str">
        <f t="shared" si="18"/>
        <v/>
      </c>
      <c r="J321" s="103">
        <v>0.19216999999999998</v>
      </c>
      <c r="K321" s="103">
        <f t="shared" si="19"/>
        <v>7.5113059441254528E-5</v>
      </c>
    </row>
    <row r="322" spans="2:11" ht="15" customHeight="1">
      <c r="B322" s="98" t="s">
        <v>790</v>
      </c>
      <c r="C322" s="99" t="s">
        <v>791</v>
      </c>
      <c r="D322" s="100">
        <v>325.76600000000002</v>
      </c>
      <c r="E322" s="100">
        <v>151.80000000000001</v>
      </c>
      <c r="F322" s="101">
        <f t="shared" si="16"/>
        <v>49451.278800000007</v>
      </c>
      <c r="G322" s="102">
        <f t="shared" si="17"/>
        <v>1.418041389412426E-3</v>
      </c>
      <c r="H322" s="102">
        <v>5.2700922266139656E-2</v>
      </c>
      <c r="I322" s="103">
        <f t="shared" si="18"/>
        <v>7.4732089033592932E-5</v>
      </c>
      <c r="J322" s="103">
        <v>1.3100000000000001E-2</v>
      </c>
      <c r="K322" s="103">
        <f t="shared" si="19"/>
        <v>1.8576342201302783E-5</v>
      </c>
    </row>
    <row r="323" spans="2:11" ht="15" customHeight="1">
      <c r="B323" s="98" t="s">
        <v>792</v>
      </c>
      <c r="C323" s="99" t="s">
        <v>793</v>
      </c>
      <c r="D323" s="100">
        <v>117.649</v>
      </c>
      <c r="E323" s="100">
        <v>97.97</v>
      </c>
      <c r="F323" s="101">
        <f t="shared" si="16"/>
        <v>11526.072529999999</v>
      </c>
      <c r="G323" s="102">
        <f t="shared" si="17"/>
        <v>3.3051618282740127E-4</v>
      </c>
      <c r="H323" s="102">
        <v>3.3071348371950603E-2</v>
      </c>
      <c r="I323" s="103">
        <f t="shared" si="18"/>
        <v>1.0930615824852305E-5</v>
      </c>
      <c r="J323" s="103">
        <v>6.1900000000000004E-2</v>
      </c>
      <c r="K323" s="103">
        <f t="shared" si="19"/>
        <v>2.0458951717016139E-5</v>
      </c>
    </row>
    <row r="324" spans="2:11" ht="15" customHeight="1">
      <c r="B324" s="98" t="s">
        <v>794</v>
      </c>
      <c r="C324" s="99" t="s">
        <v>795</v>
      </c>
      <c r="D324" s="100">
        <v>142.18600000000001</v>
      </c>
      <c r="E324" s="100">
        <v>206.89</v>
      </c>
      <c r="F324" s="101">
        <f t="shared" si="16"/>
        <v>29416.861539999998</v>
      </c>
      <c r="G324" s="102">
        <f t="shared" si="17"/>
        <v>8.4354395321187422E-4</v>
      </c>
      <c r="H324" s="102">
        <v>3.2867707477403453E-2</v>
      </c>
      <c r="I324" s="103">
        <f t="shared" si="18"/>
        <v>2.7725355898500388E-5</v>
      </c>
      <c r="J324" s="103">
        <v>7.7050000000000007E-2</v>
      </c>
      <c r="K324" s="103">
        <f t="shared" si="19"/>
        <v>6.4995061594974913E-5</v>
      </c>
    </row>
    <row r="325" spans="2:11" ht="15" customHeight="1">
      <c r="B325" s="98" t="s">
        <v>796</v>
      </c>
      <c r="C325" s="99" t="s">
        <v>797</v>
      </c>
      <c r="D325" s="100">
        <v>359</v>
      </c>
      <c r="E325" s="100">
        <v>117.19</v>
      </c>
      <c r="F325" s="101">
        <f t="shared" si="16"/>
        <v>42071.21</v>
      </c>
      <c r="G325" s="102">
        <f t="shared" si="17"/>
        <v>1.2064140408571584E-3</v>
      </c>
      <c r="H325" s="102">
        <v>4.4372386722416592E-2</v>
      </c>
      <c r="I325" s="103">
        <f t="shared" si="18"/>
        <v>5.3531470368267122E-5</v>
      </c>
      <c r="J325" s="103">
        <v>9.9600000000000008E-2</v>
      </c>
      <c r="K325" s="103">
        <f t="shared" si="19"/>
        <v>1.2015883846937299E-4</v>
      </c>
    </row>
    <row r="326" spans="2:11" ht="15" customHeight="1">
      <c r="B326" s="98" t="s">
        <v>798</v>
      </c>
      <c r="C326" s="99" t="s">
        <v>799</v>
      </c>
      <c r="D326" s="100">
        <v>729.399</v>
      </c>
      <c r="E326" s="100">
        <v>136.85</v>
      </c>
      <c r="F326" s="101">
        <f t="shared" si="16"/>
        <v>99818.25314999999</v>
      </c>
      <c r="G326" s="102">
        <f t="shared" si="17"/>
        <v>2.8623408296075698E-3</v>
      </c>
      <c r="H326" s="102">
        <v>4.7643405188162222E-2</v>
      </c>
      <c r="I326" s="103">
        <f t="shared" si="18"/>
        <v>1.3637166393161386E-4</v>
      </c>
      <c r="J326" s="103">
        <v>6.3850000000000004E-2</v>
      </c>
      <c r="K326" s="103">
        <f t="shared" si="19"/>
        <v>1.8276046197044334E-4</v>
      </c>
    </row>
    <row r="327" spans="2:11" ht="15" customHeight="1">
      <c r="B327" s="98" t="s">
        <v>800</v>
      </c>
      <c r="C327" s="99" t="s">
        <v>801</v>
      </c>
      <c r="D327" s="100">
        <v>863.27499999999998</v>
      </c>
      <c r="E327" s="100">
        <v>12.095000000000001</v>
      </c>
      <c r="F327" s="101">
        <f t="shared" si="16"/>
        <v>10441.311125</v>
      </c>
      <c r="G327" s="102" t="str">
        <f t="shared" si="17"/>
        <v/>
      </c>
      <c r="H327" s="102">
        <v>8.2678792889623806E-2</v>
      </c>
      <c r="I327" s="103" t="str">
        <f t="shared" si="18"/>
        <v/>
      </c>
      <c r="J327" s="103">
        <v>-0.1</v>
      </c>
      <c r="K327" s="103" t="str">
        <f t="shared" si="19"/>
        <v/>
      </c>
    </row>
    <row r="328" spans="2:11" ht="15" customHeight="1">
      <c r="B328" s="98" t="s">
        <v>802</v>
      </c>
      <c r="C328" s="99" t="s">
        <v>803</v>
      </c>
      <c r="D328" s="100">
        <v>98.9</v>
      </c>
      <c r="E328" s="100">
        <v>219.54</v>
      </c>
      <c r="F328" s="101">
        <f t="shared" si="16"/>
        <v>21712.506000000001</v>
      </c>
      <c r="G328" s="102" t="str">
        <f t="shared" si="17"/>
        <v/>
      </c>
      <c r="H328" s="102">
        <v>9.4743554705292894E-3</v>
      </c>
      <c r="I328" s="103" t="str">
        <f t="shared" si="18"/>
        <v/>
      </c>
      <c r="J328" s="103" t="s">
        <v>243</v>
      </c>
      <c r="K328" s="103" t="str">
        <f t="shared" si="19"/>
        <v/>
      </c>
    </row>
    <row r="329" spans="2:11" ht="15" customHeight="1">
      <c r="B329" s="98" t="s">
        <v>804</v>
      </c>
      <c r="C329" s="99" t="s">
        <v>805</v>
      </c>
      <c r="D329" s="100">
        <v>129.71100000000001</v>
      </c>
      <c r="E329" s="100">
        <v>584.04</v>
      </c>
      <c r="F329" s="101">
        <f t="shared" si="16"/>
        <v>75756.41244</v>
      </c>
      <c r="G329" s="102">
        <f t="shared" si="17"/>
        <v>2.1723549109374774E-3</v>
      </c>
      <c r="H329" s="102">
        <v>4.246284501061571E-3</v>
      </c>
      <c r="I329" s="103">
        <f t="shared" si="18"/>
        <v>9.2244369891188001E-6</v>
      </c>
      <c r="J329" s="103">
        <v>0.1167</v>
      </c>
      <c r="K329" s="103">
        <f t="shared" si="19"/>
        <v>2.5351381810640361E-4</v>
      </c>
    </row>
    <row r="330" spans="2:11" ht="15" customHeight="1">
      <c r="B330" s="98" t="s">
        <v>806</v>
      </c>
      <c r="C330" s="99" t="s">
        <v>807</v>
      </c>
      <c r="D330" s="100">
        <v>239.93799999999999</v>
      </c>
      <c r="E330" s="100">
        <v>467.1</v>
      </c>
      <c r="F330" s="101">
        <f t="shared" si="16"/>
        <v>112075.0398</v>
      </c>
      <c r="G330" s="102">
        <f t="shared" si="17"/>
        <v>3.2138106235676338E-3</v>
      </c>
      <c r="H330" s="102">
        <v>2.6974951830443159E-2</v>
      </c>
      <c r="I330" s="103">
        <f t="shared" si="18"/>
        <v>8.6692386762903418E-5</v>
      </c>
      <c r="J330" s="103">
        <v>2.2099999999999998E-2</v>
      </c>
      <c r="K330" s="103">
        <f t="shared" si="19"/>
        <v>7.1025214780844699E-5</v>
      </c>
    </row>
    <row r="331" spans="2:11" ht="15" customHeight="1">
      <c r="B331" s="98" t="s">
        <v>1245</v>
      </c>
      <c r="C331" s="99" t="s">
        <v>1246</v>
      </c>
      <c r="D331" s="100">
        <v>196.929</v>
      </c>
      <c r="E331" s="100">
        <v>225.3</v>
      </c>
      <c r="F331" s="101">
        <f t="shared" si="16"/>
        <v>44368.1037</v>
      </c>
      <c r="G331" s="102">
        <f t="shared" si="17"/>
        <v>1.2722786739408362E-3</v>
      </c>
      <c r="H331" s="102">
        <v>9.0545938748335542E-3</v>
      </c>
      <c r="I331" s="103">
        <f t="shared" si="18"/>
        <v>1.1519966688146053E-5</v>
      </c>
      <c r="J331" s="103">
        <v>0.1082</v>
      </c>
      <c r="K331" s="103">
        <f t="shared" si="19"/>
        <v>1.376605525203985E-4</v>
      </c>
    </row>
    <row r="332" spans="2:11" ht="15" customHeight="1">
      <c r="B332" s="98" t="s">
        <v>808</v>
      </c>
      <c r="C332" s="99" t="s">
        <v>809</v>
      </c>
      <c r="D332" s="100">
        <v>381.92200000000003</v>
      </c>
      <c r="E332" s="100">
        <v>138.44999999999999</v>
      </c>
      <c r="F332" s="101">
        <f t="shared" si="16"/>
        <v>52877.100899999998</v>
      </c>
      <c r="G332" s="102">
        <f t="shared" si="17"/>
        <v>1.5162786372338872E-3</v>
      </c>
      <c r="H332" s="102">
        <v>1.7334777898158179E-2</v>
      </c>
      <c r="I332" s="103">
        <f t="shared" si="18"/>
        <v>2.6284353408171391E-5</v>
      </c>
      <c r="J332" s="103">
        <v>0.12</v>
      </c>
      <c r="K332" s="103">
        <f t="shared" si="19"/>
        <v>1.8195343646806647E-4</v>
      </c>
    </row>
    <row r="333" spans="2:11" ht="15" customHeight="1">
      <c r="B333" s="98" t="s">
        <v>810</v>
      </c>
      <c r="C333" s="99" t="s">
        <v>811</v>
      </c>
      <c r="D333" s="100">
        <v>59.32</v>
      </c>
      <c r="E333" s="100">
        <v>290.12</v>
      </c>
      <c r="F333" s="101">
        <f t="shared" si="16"/>
        <v>17209.918399999999</v>
      </c>
      <c r="G333" s="102">
        <f t="shared" si="17"/>
        <v>4.9350344807686691E-4</v>
      </c>
      <c r="H333" s="102" t="s">
        <v>243</v>
      </c>
      <c r="I333" s="103" t="str">
        <f t="shared" si="18"/>
        <v/>
      </c>
      <c r="J333" s="103">
        <v>5.1150000000000001E-2</v>
      </c>
      <c r="K333" s="103">
        <f t="shared" si="19"/>
        <v>2.5242701369131742E-5</v>
      </c>
    </row>
    <row r="334" spans="2:11" ht="15" customHeight="1">
      <c r="B334" s="98" t="s">
        <v>812</v>
      </c>
      <c r="C334" s="99" t="s">
        <v>813</v>
      </c>
      <c r="D334" s="100">
        <v>57.268999999999998</v>
      </c>
      <c r="E334" s="100">
        <v>231.94</v>
      </c>
      <c r="F334" s="101">
        <f t="shared" si="16"/>
        <v>13282.97186</v>
      </c>
      <c r="G334" s="102" t="str">
        <f t="shared" si="17"/>
        <v/>
      </c>
      <c r="H334" s="102">
        <v>1.1727170820039667E-2</v>
      </c>
      <c r="I334" s="103" t="str">
        <f t="shared" si="18"/>
        <v/>
      </c>
      <c r="J334" s="103" t="s">
        <v>243</v>
      </c>
      <c r="K334" s="103" t="str">
        <f t="shared" si="19"/>
        <v/>
      </c>
    </row>
    <row r="335" spans="2:11" ht="15" customHeight="1">
      <c r="B335" s="98" t="s">
        <v>814</v>
      </c>
      <c r="C335" s="99" t="s">
        <v>815</v>
      </c>
      <c r="D335" s="100">
        <v>214.94399999999999</v>
      </c>
      <c r="E335" s="100">
        <v>106.77</v>
      </c>
      <c r="F335" s="101">
        <f t="shared" si="16"/>
        <v>22949.570879999999</v>
      </c>
      <c r="G335" s="102">
        <f t="shared" si="17"/>
        <v>6.5809099717546932E-4</v>
      </c>
      <c r="H335" s="102" t="s">
        <v>243</v>
      </c>
      <c r="I335" s="103" t="str">
        <f t="shared" si="18"/>
        <v/>
      </c>
      <c r="J335" s="103">
        <v>0.12390000000000001</v>
      </c>
      <c r="K335" s="103">
        <f t="shared" si="19"/>
        <v>8.153747455004065E-5</v>
      </c>
    </row>
    <row r="336" spans="2:11" ht="15" customHeight="1">
      <c r="B336" s="98" t="s">
        <v>816</v>
      </c>
      <c r="C336" s="99" t="s">
        <v>817</v>
      </c>
      <c r="D336" s="100">
        <v>119.35899999999999</v>
      </c>
      <c r="E336" s="100">
        <v>151.32</v>
      </c>
      <c r="F336" s="101">
        <f t="shared" ref="F336:F399" si="20">D336*E336</f>
        <v>18061.403879999998</v>
      </c>
      <c r="G336" s="102">
        <f t="shared" ref="G336:G399" si="21">IF(AND(ISNUMBER($J336)), IF(AND($J336&lt;=20%,$J336&gt;0%), $F336/SUMIFS($F$15:$F$517,$J$15:$J$517, "&gt;"&amp;0%,$J$15:$J$517, "&lt;="&amp;20%),""),"")</f>
        <v>5.1792024138178961E-4</v>
      </c>
      <c r="H336" s="102">
        <v>3.7007665873645255E-2</v>
      </c>
      <c r="I336" s="103">
        <f t="shared" ref="I336:I399" si="22">IFERROR(G336*H336,"")</f>
        <v>1.916701924225497E-5</v>
      </c>
      <c r="J336" s="103">
        <v>9.820000000000001E-2</v>
      </c>
      <c r="K336" s="103">
        <f t="shared" ref="K336:K399" si="23">IFERROR(G336*J336,"")</f>
        <v>5.0859767703691744E-5</v>
      </c>
    </row>
    <row r="337" spans="2:11" ht="15" customHeight="1">
      <c r="B337" s="98" t="s">
        <v>818</v>
      </c>
      <c r="C337" s="99" t="s">
        <v>25</v>
      </c>
      <c r="D337" s="100">
        <v>229.74600000000001</v>
      </c>
      <c r="E337" s="100">
        <v>52.97</v>
      </c>
      <c r="F337" s="101">
        <f t="shared" si="20"/>
        <v>12169.645619999999</v>
      </c>
      <c r="G337" s="102">
        <f t="shared" si="21"/>
        <v>3.4897097916185011E-4</v>
      </c>
      <c r="H337" s="102">
        <v>4.8518029073060222E-2</v>
      </c>
      <c r="I337" s="103">
        <f t="shared" si="22"/>
        <v>1.6931384112628936E-5</v>
      </c>
      <c r="J337" s="103">
        <v>0.05</v>
      </c>
      <c r="K337" s="103">
        <f t="shared" si="23"/>
        <v>1.7448548958092508E-5</v>
      </c>
    </row>
    <row r="338" spans="2:11" ht="15" customHeight="1">
      <c r="B338" s="98" t="s">
        <v>819</v>
      </c>
      <c r="C338" s="99" t="s">
        <v>820</v>
      </c>
      <c r="D338" s="100">
        <v>265.66800000000001</v>
      </c>
      <c r="E338" s="100">
        <v>30.38</v>
      </c>
      <c r="F338" s="101">
        <f t="shared" si="20"/>
        <v>8070.9938400000001</v>
      </c>
      <c r="G338" s="102" t="str">
        <f t="shared" si="21"/>
        <v/>
      </c>
      <c r="H338" s="102" t="s">
        <v>243</v>
      </c>
      <c r="I338" s="103" t="str">
        <f t="shared" si="22"/>
        <v/>
      </c>
      <c r="J338" s="103">
        <v>0.35685</v>
      </c>
      <c r="K338" s="103" t="str">
        <f t="shared" si="23"/>
        <v/>
      </c>
    </row>
    <row r="339" spans="2:11" ht="15" customHeight="1">
      <c r="B339" s="98" t="s">
        <v>821</v>
      </c>
      <c r="C339" s="99" t="s">
        <v>822</v>
      </c>
      <c r="D339" s="100">
        <v>34.880000000000003</v>
      </c>
      <c r="E339" s="100">
        <v>516.33000000000004</v>
      </c>
      <c r="F339" s="101">
        <f t="shared" si="20"/>
        <v>18009.590400000001</v>
      </c>
      <c r="G339" s="102">
        <f t="shared" si="21"/>
        <v>5.1643446263243417E-4</v>
      </c>
      <c r="H339" s="102">
        <v>1.1697945112621773E-2</v>
      </c>
      <c r="I339" s="103">
        <f t="shared" si="22"/>
        <v>6.0412219981405349E-6</v>
      </c>
      <c r="J339" s="103">
        <v>0.14429999999999998</v>
      </c>
      <c r="K339" s="103">
        <f t="shared" si="23"/>
        <v>7.4521492957860242E-5</v>
      </c>
    </row>
    <row r="340" spans="2:11" ht="15" customHeight="1">
      <c r="B340" s="98" t="s">
        <v>823</v>
      </c>
      <c r="C340" s="99" t="s">
        <v>824</v>
      </c>
      <c r="D340" s="100">
        <v>3.1320000000000001</v>
      </c>
      <c r="E340" s="100">
        <v>7588.56</v>
      </c>
      <c r="F340" s="101">
        <f t="shared" si="20"/>
        <v>23767.369920000001</v>
      </c>
      <c r="G340" s="102">
        <f t="shared" si="21"/>
        <v>6.8154181412262882E-4</v>
      </c>
      <c r="H340" s="102" t="s">
        <v>243</v>
      </c>
      <c r="I340" s="103" t="str">
        <f t="shared" si="22"/>
        <v/>
      </c>
      <c r="J340" s="103">
        <v>4.87E-2</v>
      </c>
      <c r="K340" s="103">
        <f t="shared" si="23"/>
        <v>3.3191086347772026E-5</v>
      </c>
    </row>
    <row r="341" spans="2:11" ht="15" customHeight="1">
      <c r="B341" s="98" t="s">
        <v>825</v>
      </c>
      <c r="C341" s="99" t="s">
        <v>826</v>
      </c>
      <c r="D341" s="100">
        <v>205.80199999999999</v>
      </c>
      <c r="E341" s="100">
        <v>128.80000000000001</v>
      </c>
      <c r="F341" s="101">
        <f t="shared" si="20"/>
        <v>26507.297600000002</v>
      </c>
      <c r="G341" s="102">
        <f t="shared" si="21"/>
        <v>7.6011067924643149E-4</v>
      </c>
      <c r="H341" s="102">
        <v>1.6149068322981366E-2</v>
      </c>
      <c r="I341" s="103">
        <f t="shared" si="22"/>
        <v>1.2275079292178397E-5</v>
      </c>
      <c r="J341" s="103">
        <v>5.2600000000000001E-2</v>
      </c>
      <c r="K341" s="103">
        <f t="shared" si="23"/>
        <v>3.9981821728362298E-5</v>
      </c>
    </row>
    <row r="342" spans="2:11" ht="15" customHeight="1">
      <c r="B342" s="98" t="s">
        <v>827</v>
      </c>
      <c r="C342" s="99" t="s">
        <v>828</v>
      </c>
      <c r="D342" s="100">
        <v>217.285</v>
      </c>
      <c r="E342" s="100">
        <v>176.6</v>
      </c>
      <c r="F342" s="101">
        <f t="shared" si="20"/>
        <v>38372.530999999995</v>
      </c>
      <c r="G342" s="102">
        <f t="shared" si="21"/>
        <v>1.1003524781347286E-3</v>
      </c>
      <c r="H342" s="102">
        <v>5.889014722536807E-3</v>
      </c>
      <c r="I342" s="103">
        <f t="shared" si="22"/>
        <v>6.4799919437152769E-6</v>
      </c>
      <c r="J342" s="103">
        <v>5.4450000000000005E-2</v>
      </c>
      <c r="K342" s="103">
        <f t="shared" si="23"/>
        <v>5.9914192434435976E-5</v>
      </c>
    </row>
    <row r="343" spans="2:11" ht="15" customHeight="1">
      <c r="B343" s="98" t="s">
        <v>829</v>
      </c>
      <c r="C343" s="99" t="s">
        <v>830</v>
      </c>
      <c r="D343" s="100">
        <v>87.7</v>
      </c>
      <c r="E343" s="100">
        <v>138.57</v>
      </c>
      <c r="F343" s="101">
        <f t="shared" si="20"/>
        <v>12152.589</v>
      </c>
      <c r="G343" s="102">
        <f t="shared" si="21"/>
        <v>3.4848187162589943E-4</v>
      </c>
      <c r="H343" s="102" t="s">
        <v>243</v>
      </c>
      <c r="I343" s="103" t="str">
        <f t="shared" si="22"/>
        <v/>
      </c>
      <c r="J343" s="103">
        <v>0.1598</v>
      </c>
      <c r="K343" s="103">
        <f t="shared" si="23"/>
        <v>5.5687403085818728E-5</v>
      </c>
    </row>
    <row r="344" spans="2:11" ht="15" customHeight="1">
      <c r="B344" s="98" t="s">
        <v>831</v>
      </c>
      <c r="C344" s="99" t="s">
        <v>832</v>
      </c>
      <c r="D344" s="100">
        <v>295.755</v>
      </c>
      <c r="E344" s="100">
        <v>100.54</v>
      </c>
      <c r="F344" s="101">
        <f t="shared" si="20"/>
        <v>29735.207700000003</v>
      </c>
      <c r="G344" s="102">
        <f t="shared" si="21"/>
        <v>8.5267269653247196E-4</v>
      </c>
      <c r="H344" s="102">
        <v>1.8699025263576682E-2</v>
      </c>
      <c r="I344" s="103">
        <f t="shared" si="22"/>
        <v>1.5944148294022748E-5</v>
      </c>
      <c r="J344" s="103">
        <v>0.1222</v>
      </c>
      <c r="K344" s="103">
        <f t="shared" si="23"/>
        <v>1.0419660351626808E-4</v>
      </c>
    </row>
    <row r="345" spans="2:11" ht="15" customHeight="1">
      <c r="B345" s="98" t="s">
        <v>833</v>
      </c>
      <c r="C345" s="99" t="s">
        <v>834</v>
      </c>
      <c r="D345" s="100">
        <v>293.13299999999998</v>
      </c>
      <c r="E345" s="100">
        <v>89.62</v>
      </c>
      <c r="F345" s="101">
        <f t="shared" si="20"/>
        <v>26270.579460000001</v>
      </c>
      <c r="G345" s="102">
        <f t="shared" si="21"/>
        <v>7.533226622670865E-4</v>
      </c>
      <c r="H345" s="102">
        <v>2.9011381388083016E-2</v>
      </c>
      <c r="I345" s="103">
        <f t="shared" si="22"/>
        <v>2.18549310633165E-5</v>
      </c>
      <c r="J345" s="103">
        <v>0.04</v>
      </c>
      <c r="K345" s="103">
        <f t="shared" si="23"/>
        <v>3.0132906490683459E-5</v>
      </c>
    </row>
    <row r="346" spans="2:11" ht="15" customHeight="1">
      <c r="B346" s="98" t="s">
        <v>835</v>
      </c>
      <c r="C346" s="99" t="s">
        <v>836</v>
      </c>
      <c r="D346" s="100">
        <v>233.02199999999999</v>
      </c>
      <c r="E346" s="100">
        <v>106.4</v>
      </c>
      <c r="F346" s="101">
        <f t="shared" si="20"/>
        <v>24793.540799999999</v>
      </c>
      <c r="G346" s="102">
        <f t="shared" si="21"/>
        <v>7.1096780301029678E-4</v>
      </c>
      <c r="H346" s="102">
        <v>2.4812030075187969E-2</v>
      </c>
      <c r="I346" s="103">
        <f t="shared" si="22"/>
        <v>1.7640554510781798E-5</v>
      </c>
      <c r="J346" s="103">
        <v>0.16125</v>
      </c>
      <c r="K346" s="103">
        <f t="shared" si="23"/>
        <v>1.1464355823541036E-4</v>
      </c>
    </row>
    <row r="347" spans="2:11" ht="15" customHeight="1">
      <c r="B347" s="98" t="s">
        <v>837</v>
      </c>
      <c r="C347" s="99" t="s">
        <v>838</v>
      </c>
      <c r="D347" s="100">
        <v>273.875</v>
      </c>
      <c r="E347" s="100">
        <v>307.75</v>
      </c>
      <c r="F347" s="101">
        <f t="shared" si="20"/>
        <v>84285.03125</v>
      </c>
      <c r="G347" s="102">
        <f t="shared" si="21"/>
        <v>2.416917534201759E-3</v>
      </c>
      <c r="H347" s="102" t="s">
        <v>243</v>
      </c>
      <c r="I347" s="103" t="str">
        <f t="shared" si="22"/>
        <v/>
      </c>
      <c r="J347" s="103">
        <v>0.15664999999999998</v>
      </c>
      <c r="K347" s="103">
        <f t="shared" si="23"/>
        <v>3.7861013173270551E-4</v>
      </c>
    </row>
    <row r="348" spans="2:11" ht="15" customHeight="1">
      <c r="B348" s="98" t="s">
        <v>839</v>
      </c>
      <c r="C348" s="99" t="s">
        <v>840</v>
      </c>
      <c r="D348" s="100">
        <v>42.454999999999998</v>
      </c>
      <c r="E348" s="100">
        <v>502.78</v>
      </c>
      <c r="F348" s="101">
        <f t="shared" si="20"/>
        <v>21345.524899999997</v>
      </c>
      <c r="G348" s="102" t="str">
        <f t="shared" si="21"/>
        <v/>
      </c>
      <c r="H348" s="102" t="s">
        <v>243</v>
      </c>
      <c r="I348" s="103" t="str">
        <f t="shared" si="22"/>
        <v/>
      </c>
      <c r="J348" s="103" t="s">
        <v>243</v>
      </c>
      <c r="K348" s="103" t="str">
        <f t="shared" si="23"/>
        <v/>
      </c>
    </row>
    <row r="349" spans="2:11" ht="15" customHeight="1">
      <c r="B349" s="98" t="s">
        <v>841</v>
      </c>
      <c r="C349" s="99" t="s">
        <v>842</v>
      </c>
      <c r="D349" s="100">
        <v>59.677999999999997</v>
      </c>
      <c r="E349" s="100">
        <v>184.93</v>
      </c>
      <c r="F349" s="101">
        <f t="shared" si="20"/>
        <v>11036.252539999999</v>
      </c>
      <c r="G349" s="102">
        <f t="shared" si="21"/>
        <v>3.1647033738039577E-4</v>
      </c>
      <c r="H349" s="102">
        <v>4.3259611744984588E-3</v>
      </c>
      <c r="I349" s="103">
        <f t="shared" si="22"/>
        <v>1.3690383923880204E-6</v>
      </c>
      <c r="J349" s="103">
        <v>0.1784</v>
      </c>
      <c r="K349" s="103">
        <f t="shared" si="23"/>
        <v>5.6458308188662606E-5</v>
      </c>
    </row>
    <row r="350" spans="2:11" ht="15" customHeight="1">
      <c r="B350" s="98" t="s">
        <v>843</v>
      </c>
      <c r="C350" s="99" t="s">
        <v>844</v>
      </c>
      <c r="D350" s="100">
        <v>160.447</v>
      </c>
      <c r="E350" s="100">
        <v>106.58</v>
      </c>
      <c r="F350" s="101">
        <f t="shared" si="20"/>
        <v>17100.44126</v>
      </c>
      <c r="G350" s="102" t="str">
        <f t="shared" si="21"/>
        <v/>
      </c>
      <c r="H350" s="102">
        <v>2.5520735597673112E-2</v>
      </c>
      <c r="I350" s="103" t="str">
        <f t="shared" si="22"/>
        <v/>
      </c>
      <c r="J350" s="103">
        <v>-1.5900000000000001E-2</v>
      </c>
      <c r="K350" s="103" t="str">
        <f t="shared" si="23"/>
        <v/>
      </c>
    </row>
    <row r="351" spans="2:11" ht="15" customHeight="1">
      <c r="B351" s="98" t="s">
        <v>845</v>
      </c>
      <c r="C351" s="99" t="s">
        <v>846</v>
      </c>
      <c r="D351" s="100">
        <v>111.092</v>
      </c>
      <c r="E351" s="100">
        <v>136.88</v>
      </c>
      <c r="F351" s="101">
        <f t="shared" si="20"/>
        <v>15206.272959999998</v>
      </c>
      <c r="G351" s="102" t="str">
        <f t="shared" si="21"/>
        <v/>
      </c>
      <c r="H351" s="102">
        <v>2.1917007597895968E-2</v>
      </c>
      <c r="I351" s="103" t="str">
        <f t="shared" si="22"/>
        <v/>
      </c>
      <c r="J351" s="103">
        <v>-8.199999999999999E-3</v>
      </c>
      <c r="K351" s="103" t="str">
        <f t="shared" si="23"/>
        <v/>
      </c>
    </row>
    <row r="352" spans="2:11" ht="15" customHeight="1">
      <c r="B352" s="98" t="s">
        <v>847</v>
      </c>
      <c r="C352" s="99" t="s">
        <v>848</v>
      </c>
      <c r="D352" s="100">
        <v>114.003</v>
      </c>
      <c r="E352" s="100">
        <v>275.27999999999997</v>
      </c>
      <c r="F352" s="101">
        <f t="shared" si="20"/>
        <v>31382.745839999996</v>
      </c>
      <c r="G352" s="102">
        <f t="shared" si="21"/>
        <v>8.9991671791772988E-4</v>
      </c>
      <c r="H352" s="102">
        <v>1.8163324614937519E-2</v>
      </c>
      <c r="I352" s="103">
        <f t="shared" si="22"/>
        <v>1.6345479473948887E-5</v>
      </c>
      <c r="J352" s="103">
        <v>5.2249999999999998E-2</v>
      </c>
      <c r="K352" s="103">
        <f t="shared" si="23"/>
        <v>4.7020648511201385E-5</v>
      </c>
    </row>
    <row r="353" spans="2:11" ht="15" customHeight="1">
      <c r="B353" s="98" t="s">
        <v>849</v>
      </c>
      <c r="C353" s="99" t="s">
        <v>850</v>
      </c>
      <c r="D353" s="100">
        <v>1214.298</v>
      </c>
      <c r="E353" s="100">
        <v>32.22</v>
      </c>
      <c r="F353" s="101">
        <f t="shared" si="20"/>
        <v>39124.681559999997</v>
      </c>
      <c r="G353" s="102">
        <f t="shared" si="21"/>
        <v>1.1219207904419471E-3</v>
      </c>
      <c r="H353" s="102">
        <v>4.9658597144630667E-2</v>
      </c>
      <c r="I353" s="103">
        <f t="shared" si="22"/>
        <v>5.5713012560742255E-5</v>
      </c>
      <c r="J353" s="103">
        <v>3.7699999999999997E-2</v>
      </c>
      <c r="K353" s="103">
        <f t="shared" si="23"/>
        <v>4.2296413799661403E-5</v>
      </c>
    </row>
    <row r="354" spans="2:11" ht="15" customHeight="1">
      <c r="B354" s="98" t="s">
        <v>851</v>
      </c>
      <c r="C354" s="99" t="s">
        <v>852</v>
      </c>
      <c r="D354" s="100">
        <v>466.97500000000002</v>
      </c>
      <c r="E354" s="100">
        <v>194.38</v>
      </c>
      <c r="F354" s="101">
        <f t="shared" si="20"/>
        <v>90770.6005</v>
      </c>
      <c r="G354" s="102">
        <f t="shared" si="21"/>
        <v>2.6028946384055941E-3</v>
      </c>
      <c r="H354" s="102">
        <v>3.3336763041465177E-2</v>
      </c>
      <c r="I354" s="103">
        <f t="shared" si="22"/>
        <v>8.6772081782427471E-5</v>
      </c>
      <c r="J354" s="103">
        <v>0.11484999999999999</v>
      </c>
      <c r="K354" s="103">
        <f t="shared" si="23"/>
        <v>2.9894244922088246E-4</v>
      </c>
    </row>
    <row r="355" spans="2:11" ht="15" customHeight="1">
      <c r="B355" s="98" t="s">
        <v>853</v>
      </c>
      <c r="C355" s="99" t="s">
        <v>854</v>
      </c>
      <c r="D355" s="100">
        <v>108.367</v>
      </c>
      <c r="E355" s="100">
        <v>1051.03</v>
      </c>
      <c r="F355" s="101">
        <f t="shared" si="20"/>
        <v>113896.96801</v>
      </c>
      <c r="G355" s="102" t="str">
        <f t="shared" si="21"/>
        <v/>
      </c>
      <c r="H355" s="102" t="s">
        <v>243</v>
      </c>
      <c r="I355" s="103" t="str">
        <f t="shared" si="22"/>
        <v/>
      </c>
      <c r="J355" s="103">
        <v>0.34307000000000004</v>
      </c>
      <c r="K355" s="103" t="str">
        <f t="shared" si="23"/>
        <v/>
      </c>
    </row>
    <row r="356" spans="2:11" ht="15" customHeight="1">
      <c r="B356" s="98" t="s">
        <v>855</v>
      </c>
      <c r="C356" s="99" t="s">
        <v>856</v>
      </c>
      <c r="D356" s="100">
        <v>10406.627</v>
      </c>
      <c r="E356" s="100">
        <v>193.25</v>
      </c>
      <c r="F356" s="101">
        <f t="shared" si="20"/>
        <v>2011080.66775</v>
      </c>
      <c r="G356" s="102" t="str">
        <f t="shared" si="21"/>
        <v/>
      </c>
      <c r="H356" s="102" t="s">
        <v>243</v>
      </c>
      <c r="I356" s="103" t="str">
        <f t="shared" si="22"/>
        <v/>
      </c>
      <c r="J356" s="103">
        <v>0.28960000000000002</v>
      </c>
      <c r="K356" s="103" t="str">
        <f t="shared" si="23"/>
        <v/>
      </c>
    </row>
    <row r="357" spans="2:11" ht="15" customHeight="1">
      <c r="B357" s="98" t="s">
        <v>857</v>
      </c>
      <c r="C357" s="99" t="s">
        <v>858</v>
      </c>
      <c r="D357" s="100">
        <v>72.900000000000006</v>
      </c>
      <c r="E357" s="100">
        <v>166.02</v>
      </c>
      <c r="F357" s="101">
        <f t="shared" si="20"/>
        <v>12102.858000000002</v>
      </c>
      <c r="G357" s="102">
        <f t="shared" si="21"/>
        <v>3.470558090841787E-4</v>
      </c>
      <c r="H357" s="102">
        <v>1.3251415492109385E-2</v>
      </c>
      <c r="I357" s="103">
        <f t="shared" si="22"/>
        <v>4.5989807251246424E-6</v>
      </c>
      <c r="J357" s="103">
        <v>7.46E-2</v>
      </c>
      <c r="K357" s="103">
        <f t="shared" si="23"/>
        <v>2.5890363357679731E-5</v>
      </c>
    </row>
    <row r="358" spans="2:11" ht="15" customHeight="1">
      <c r="B358" s="98" t="s">
        <v>859</v>
      </c>
      <c r="C358" s="99" t="s">
        <v>860</v>
      </c>
      <c r="D358" s="100">
        <v>40.774000000000001</v>
      </c>
      <c r="E358" s="100">
        <v>175.06</v>
      </c>
      <c r="F358" s="101">
        <f t="shared" si="20"/>
        <v>7137.8964400000004</v>
      </c>
      <c r="G358" s="102">
        <f t="shared" si="21"/>
        <v>2.0468292895308519E-4</v>
      </c>
      <c r="H358" s="102">
        <v>1.8850679766937047E-2</v>
      </c>
      <c r="I358" s="103">
        <f t="shared" si="22"/>
        <v>3.8584123474533365E-6</v>
      </c>
      <c r="J358" s="103">
        <v>0.1105</v>
      </c>
      <c r="K358" s="103">
        <f t="shared" si="23"/>
        <v>2.2617463649315915E-5</v>
      </c>
    </row>
    <row r="359" spans="2:11" ht="15" customHeight="1">
      <c r="B359" s="98" t="s">
        <v>1290</v>
      </c>
      <c r="C359" s="99" t="s">
        <v>861</v>
      </c>
      <c r="D359" s="100">
        <v>157.04900000000001</v>
      </c>
      <c r="E359" s="100">
        <v>61.56</v>
      </c>
      <c r="F359" s="101">
        <f t="shared" si="20"/>
        <v>9667.9364400000013</v>
      </c>
      <c r="G359" s="102">
        <f t="shared" si="21"/>
        <v>2.7723315462832121E-4</v>
      </c>
      <c r="H359" s="102">
        <v>6.3677712800519815E-2</v>
      </c>
      <c r="I359" s="103">
        <f t="shared" si="22"/>
        <v>1.7653573199204337E-5</v>
      </c>
      <c r="J359" s="103">
        <v>2.3E-3</v>
      </c>
      <c r="K359" s="103">
        <f t="shared" si="23"/>
        <v>6.3763625564513878E-7</v>
      </c>
    </row>
    <row r="360" spans="2:11" ht="15" customHeight="1">
      <c r="B360" s="98" t="s">
        <v>862</v>
      </c>
      <c r="C360" s="99" t="s">
        <v>863</v>
      </c>
      <c r="D360" s="100">
        <v>1201.2080000000001</v>
      </c>
      <c r="E360" s="100">
        <v>67.37</v>
      </c>
      <c r="F360" s="101">
        <f t="shared" si="20"/>
        <v>80925.382960000017</v>
      </c>
      <c r="G360" s="102">
        <f t="shared" si="21"/>
        <v>2.3205778551338711E-3</v>
      </c>
      <c r="H360" s="102">
        <v>6.5310969274157632E-3</v>
      </c>
      <c r="I360" s="103">
        <f t="shared" si="22"/>
        <v>1.5155918899493888E-5</v>
      </c>
      <c r="J360" s="103">
        <v>0.13369999999999999</v>
      </c>
      <c r="K360" s="103">
        <f t="shared" si="23"/>
        <v>3.1026125923139854E-4</v>
      </c>
    </row>
    <row r="361" spans="2:11" ht="15" customHeight="1">
      <c r="B361" s="98" t="s">
        <v>864</v>
      </c>
      <c r="C361" s="99" t="s">
        <v>865</v>
      </c>
      <c r="D361" s="100">
        <v>408.18299999999999</v>
      </c>
      <c r="E361" s="100">
        <v>77.63</v>
      </c>
      <c r="F361" s="101">
        <f t="shared" si="20"/>
        <v>31687.246289999999</v>
      </c>
      <c r="G361" s="102">
        <f t="shared" si="21"/>
        <v>9.0864842823286764E-4</v>
      </c>
      <c r="H361" s="102">
        <v>2.5763235862424324E-3</v>
      </c>
      <c r="I361" s="103">
        <f t="shared" si="22"/>
        <v>2.3409723772584511E-6</v>
      </c>
      <c r="J361" s="103">
        <v>0.19815000000000002</v>
      </c>
      <c r="K361" s="103">
        <f t="shared" si="23"/>
        <v>1.8004868605434274E-4</v>
      </c>
    </row>
    <row r="362" spans="2:11" ht="15" customHeight="1">
      <c r="B362" s="98" t="s">
        <v>866</v>
      </c>
      <c r="C362" s="99" t="s">
        <v>867</v>
      </c>
      <c r="D362" s="100">
        <v>326.99599999999998</v>
      </c>
      <c r="E362" s="100">
        <v>156.76</v>
      </c>
      <c r="F362" s="101">
        <f t="shared" si="20"/>
        <v>51259.892959999997</v>
      </c>
      <c r="G362" s="102" t="str">
        <f t="shared" si="21"/>
        <v/>
      </c>
      <c r="H362" s="102">
        <v>2.730288338861955E-2</v>
      </c>
      <c r="I362" s="103" t="str">
        <f t="shared" si="22"/>
        <v/>
      </c>
      <c r="J362" s="103">
        <v>-0.24</v>
      </c>
      <c r="K362" s="103" t="str">
        <f t="shared" si="23"/>
        <v/>
      </c>
    </row>
    <row r="363" spans="2:11" ht="15" customHeight="1">
      <c r="B363" s="98" t="s">
        <v>868</v>
      </c>
      <c r="C363" s="99" t="s">
        <v>869</v>
      </c>
      <c r="D363" s="100">
        <v>153.21600000000001</v>
      </c>
      <c r="E363" s="100">
        <v>595.05999999999995</v>
      </c>
      <c r="F363" s="101">
        <f t="shared" si="20"/>
        <v>91172.71295999999</v>
      </c>
      <c r="G363" s="102">
        <f t="shared" si="21"/>
        <v>2.6144254243693826E-3</v>
      </c>
      <c r="H363" s="102" t="s">
        <v>243</v>
      </c>
      <c r="I363" s="103" t="str">
        <f t="shared" si="22"/>
        <v/>
      </c>
      <c r="J363" s="103">
        <v>0.16589999999999999</v>
      </c>
      <c r="K363" s="103">
        <f t="shared" si="23"/>
        <v>4.3373317790288053E-4</v>
      </c>
    </row>
    <row r="364" spans="2:11" ht="15" customHeight="1">
      <c r="B364" s="98" t="s">
        <v>870</v>
      </c>
      <c r="C364" s="99" t="s">
        <v>871</v>
      </c>
      <c r="D364" s="100">
        <v>116.93300000000001</v>
      </c>
      <c r="E364" s="100">
        <v>58.98</v>
      </c>
      <c r="F364" s="101">
        <f t="shared" si="20"/>
        <v>6896.7083400000001</v>
      </c>
      <c r="G364" s="102">
        <f t="shared" si="21"/>
        <v>1.9776673352329697E-4</v>
      </c>
      <c r="H364" s="102" t="s">
        <v>243</v>
      </c>
      <c r="I364" s="103" t="str">
        <f t="shared" si="22"/>
        <v/>
      </c>
      <c r="J364" s="103">
        <v>7.51E-2</v>
      </c>
      <c r="K364" s="103">
        <f t="shared" si="23"/>
        <v>1.4852281687599603E-5</v>
      </c>
    </row>
    <row r="365" spans="2:11" ht="15" customHeight="1">
      <c r="B365" s="98" t="s">
        <v>872</v>
      </c>
      <c r="C365" s="99" t="s">
        <v>873</v>
      </c>
      <c r="D365" s="100">
        <v>117.095</v>
      </c>
      <c r="E365" s="100">
        <v>88.12</v>
      </c>
      <c r="F365" s="101">
        <f t="shared" si="20"/>
        <v>10318.411400000001</v>
      </c>
      <c r="G365" s="102">
        <f t="shared" si="21"/>
        <v>2.9588586570960455E-4</v>
      </c>
      <c r="H365" s="102">
        <v>2.7689514298683611E-2</v>
      </c>
      <c r="I365" s="103">
        <f t="shared" si="22"/>
        <v>8.1929359093444736E-6</v>
      </c>
      <c r="J365" s="103">
        <v>0.13900000000000001</v>
      </c>
      <c r="K365" s="103">
        <f t="shared" si="23"/>
        <v>4.1128135333635035E-5</v>
      </c>
    </row>
    <row r="366" spans="2:11" ht="15" customHeight="1">
      <c r="B366" s="98" t="s">
        <v>874</v>
      </c>
      <c r="C366" s="99" t="s">
        <v>875</v>
      </c>
      <c r="D366" s="100">
        <v>628.72900000000004</v>
      </c>
      <c r="E366" s="100">
        <v>303.41000000000003</v>
      </c>
      <c r="F366" s="101">
        <f t="shared" si="20"/>
        <v>190762.66589000003</v>
      </c>
      <c r="G366" s="102">
        <f t="shared" si="21"/>
        <v>5.4702196252743619E-3</v>
      </c>
      <c r="H366" s="102">
        <v>1.7006690616657327E-2</v>
      </c>
      <c r="I366" s="103">
        <f t="shared" si="22"/>
        <v>9.3030332772208249E-5</v>
      </c>
      <c r="J366" s="103">
        <v>5.7999999999999996E-2</v>
      </c>
      <c r="K366" s="103">
        <f t="shared" si="23"/>
        <v>3.1727273826591298E-4</v>
      </c>
    </row>
    <row r="367" spans="2:11" ht="15" customHeight="1">
      <c r="B367" s="98" t="s">
        <v>876</v>
      </c>
      <c r="C367" s="99" t="s">
        <v>877</v>
      </c>
      <c r="D367" s="100">
        <v>55.957999999999998</v>
      </c>
      <c r="E367" s="100">
        <v>1277.6099999999999</v>
      </c>
      <c r="F367" s="101">
        <f t="shared" si="20"/>
        <v>71492.500379999998</v>
      </c>
      <c r="G367" s="102">
        <f t="shared" si="21"/>
        <v>2.0500849933818813E-3</v>
      </c>
      <c r="H367" s="102" t="s">
        <v>243</v>
      </c>
      <c r="I367" s="103" t="str">
        <f t="shared" si="22"/>
        <v/>
      </c>
      <c r="J367" s="103">
        <v>0.1691</v>
      </c>
      <c r="K367" s="103">
        <f t="shared" si="23"/>
        <v>3.466693723808761E-4</v>
      </c>
    </row>
    <row r="368" spans="2:11" ht="15" customHeight="1">
      <c r="B368" s="98" t="s">
        <v>878</v>
      </c>
      <c r="C368" s="99" t="s">
        <v>879</v>
      </c>
      <c r="D368" s="100">
        <v>281.63200000000001</v>
      </c>
      <c r="E368" s="100">
        <v>132.46</v>
      </c>
      <c r="F368" s="101">
        <f t="shared" si="20"/>
        <v>37304.974720000006</v>
      </c>
      <c r="G368" s="102">
        <f t="shared" si="21"/>
        <v>1.0697397411681135E-3</v>
      </c>
      <c r="H368" s="102">
        <v>2.0232523025819116E-2</v>
      </c>
      <c r="I368" s="103">
        <f t="shared" si="22"/>
        <v>2.164353394481764E-5</v>
      </c>
      <c r="J368" s="103">
        <v>0.1066</v>
      </c>
      <c r="K368" s="103">
        <f t="shared" si="23"/>
        <v>1.1403425640852091E-4</v>
      </c>
    </row>
    <row r="369" spans="2:11" ht="15" customHeight="1">
      <c r="B369" s="98" t="s">
        <v>880</v>
      </c>
      <c r="C369" s="99" t="s">
        <v>881</v>
      </c>
      <c r="D369" s="100">
        <v>925.84400000000005</v>
      </c>
      <c r="E369" s="100">
        <v>112.31</v>
      </c>
      <c r="F369" s="101">
        <f t="shared" si="20"/>
        <v>103981.53964</v>
      </c>
      <c r="G369" s="102">
        <f t="shared" si="21"/>
        <v>2.9817252560989144E-3</v>
      </c>
      <c r="H369" s="102">
        <v>3.4191078265515089E-2</v>
      </c>
      <c r="I369" s="103">
        <f t="shared" si="22"/>
        <v>1.0194840159754101E-4</v>
      </c>
      <c r="J369" s="103">
        <v>7.5700000000000003E-2</v>
      </c>
      <c r="K369" s="103">
        <f t="shared" si="23"/>
        <v>2.2571660188668783E-4</v>
      </c>
    </row>
    <row r="370" spans="2:11" ht="15" customHeight="1">
      <c r="B370" s="98" t="s">
        <v>882</v>
      </c>
      <c r="C370" s="99" t="s">
        <v>883</v>
      </c>
      <c r="D370" s="100">
        <v>575.51599999999996</v>
      </c>
      <c r="E370" s="100">
        <v>38.270000000000003</v>
      </c>
      <c r="F370" s="101">
        <f t="shared" si="20"/>
        <v>22024.997319999999</v>
      </c>
      <c r="G370" s="102">
        <f t="shared" si="21"/>
        <v>6.3157836479362699E-4</v>
      </c>
      <c r="H370" s="102">
        <v>4.4421217663966547E-2</v>
      </c>
      <c r="I370" s="103">
        <f t="shared" si="22"/>
        <v>2.8055480014349769E-5</v>
      </c>
      <c r="J370" s="103">
        <v>5.6500000000000002E-2</v>
      </c>
      <c r="K370" s="103">
        <f t="shared" si="23"/>
        <v>3.5684177610839928E-5</v>
      </c>
    </row>
    <row r="371" spans="2:11" ht="15" customHeight="1">
      <c r="B371" s="98" t="s">
        <v>884</v>
      </c>
      <c r="C371" s="99" t="s">
        <v>885</v>
      </c>
      <c r="D371" s="100">
        <v>100.139</v>
      </c>
      <c r="E371" s="100">
        <v>177.8</v>
      </c>
      <c r="F371" s="101">
        <f t="shared" si="20"/>
        <v>17804.714200000002</v>
      </c>
      <c r="G371" s="102" t="str">
        <f t="shared" si="21"/>
        <v/>
      </c>
      <c r="H371" s="102" t="s">
        <v>243</v>
      </c>
      <c r="I371" s="103" t="str">
        <f t="shared" si="22"/>
        <v/>
      </c>
      <c r="J371" s="103" t="s">
        <v>243</v>
      </c>
      <c r="K371" s="103" t="str">
        <f t="shared" si="23"/>
        <v/>
      </c>
    </row>
    <row r="372" spans="2:11" ht="15" customHeight="1">
      <c r="B372" s="98" t="s">
        <v>886</v>
      </c>
      <c r="C372" s="99" t="s">
        <v>887</v>
      </c>
      <c r="D372" s="100">
        <v>146.38800000000001</v>
      </c>
      <c r="E372" s="100">
        <v>254.0001</v>
      </c>
      <c r="F372" s="101">
        <f t="shared" si="20"/>
        <v>37182.566638800003</v>
      </c>
      <c r="G372" s="102">
        <f t="shared" si="21"/>
        <v>1.0662296251559033E-3</v>
      </c>
      <c r="H372" s="102">
        <v>1.417322276644773E-3</v>
      </c>
      <c r="I372" s="103">
        <f t="shared" si="22"/>
        <v>1.5111909997520677E-6</v>
      </c>
      <c r="J372" s="103">
        <v>0.12</v>
      </c>
      <c r="K372" s="103">
        <f t="shared" si="23"/>
        <v>1.279475550187084E-4</v>
      </c>
    </row>
    <row r="373" spans="2:11" ht="15" customHeight="1">
      <c r="B373" s="98" t="s">
        <v>888</v>
      </c>
      <c r="C373" s="99" t="s">
        <v>889</v>
      </c>
      <c r="D373" s="100">
        <v>128.05099999999999</v>
      </c>
      <c r="E373" s="100">
        <v>64.099999999999994</v>
      </c>
      <c r="F373" s="101">
        <f t="shared" si="20"/>
        <v>8208.0690999999988</v>
      </c>
      <c r="G373" s="102">
        <f t="shared" si="21"/>
        <v>2.3537069199021799E-4</v>
      </c>
      <c r="H373" s="102" t="s">
        <v>243</v>
      </c>
      <c r="I373" s="103" t="str">
        <f t="shared" si="22"/>
        <v/>
      </c>
      <c r="J373" s="103">
        <v>7.5300000000000006E-2</v>
      </c>
      <c r="K373" s="103">
        <f t="shared" si="23"/>
        <v>1.7723413106863417E-5</v>
      </c>
    </row>
    <row r="374" spans="2:11" ht="15" customHeight="1">
      <c r="B374" s="98" t="s">
        <v>890</v>
      </c>
      <c r="C374" s="99" t="s">
        <v>17</v>
      </c>
      <c r="D374" s="100">
        <v>266.51100000000002</v>
      </c>
      <c r="E374" s="100">
        <v>71.11</v>
      </c>
      <c r="F374" s="101">
        <f t="shared" si="20"/>
        <v>18951.59721</v>
      </c>
      <c r="G374" s="102">
        <f t="shared" si="21"/>
        <v>5.4344700261326807E-4</v>
      </c>
      <c r="H374" s="102">
        <v>3.7688088876388699E-2</v>
      </c>
      <c r="I374" s="103">
        <f t="shared" si="22"/>
        <v>2.048147893409589E-5</v>
      </c>
      <c r="J374" s="103">
        <v>0.06</v>
      </c>
      <c r="K374" s="103">
        <f t="shared" si="23"/>
        <v>3.260682015679608E-5</v>
      </c>
    </row>
    <row r="375" spans="2:11" ht="15" customHeight="1">
      <c r="B375" s="98" t="s">
        <v>891</v>
      </c>
      <c r="C375" s="99" t="s">
        <v>892</v>
      </c>
      <c r="D375" s="100">
        <v>87.3</v>
      </c>
      <c r="E375" s="100">
        <v>321.5</v>
      </c>
      <c r="F375" s="101">
        <f t="shared" si="20"/>
        <v>28066.95</v>
      </c>
      <c r="G375" s="102">
        <f t="shared" si="21"/>
        <v>8.0483453088313426E-4</v>
      </c>
      <c r="H375" s="102" t="s">
        <v>243</v>
      </c>
      <c r="I375" s="103" t="str">
        <f t="shared" si="22"/>
        <v/>
      </c>
      <c r="J375" s="103">
        <v>6.3700000000000007E-2</v>
      </c>
      <c r="K375" s="103">
        <f t="shared" si="23"/>
        <v>5.1267959617255655E-5</v>
      </c>
    </row>
    <row r="376" spans="2:11" ht="15" customHeight="1">
      <c r="B376" s="98" t="s">
        <v>893</v>
      </c>
      <c r="C376" s="99" t="s">
        <v>894</v>
      </c>
      <c r="D376" s="100">
        <v>38.116</v>
      </c>
      <c r="E376" s="100">
        <v>408.27</v>
      </c>
      <c r="F376" s="101">
        <f t="shared" si="20"/>
        <v>15561.61932</v>
      </c>
      <c r="G376" s="102">
        <f t="shared" si="21"/>
        <v>4.4623760633749366E-4</v>
      </c>
      <c r="H376" s="102">
        <v>1.0189335488769687E-2</v>
      </c>
      <c r="I376" s="103">
        <f t="shared" si="22"/>
        <v>4.5468646786782612E-6</v>
      </c>
      <c r="J376" s="103">
        <v>9.3399999999999997E-2</v>
      </c>
      <c r="K376" s="103">
        <f t="shared" si="23"/>
        <v>4.1678592431921909E-5</v>
      </c>
    </row>
    <row r="377" spans="2:11" ht="15" customHeight="1">
      <c r="B377" s="98" t="s">
        <v>895</v>
      </c>
      <c r="C377" s="99" t="s">
        <v>896</v>
      </c>
      <c r="D377" s="100">
        <v>24600</v>
      </c>
      <c r="E377" s="100">
        <v>123.54</v>
      </c>
      <c r="F377" s="101">
        <f t="shared" si="20"/>
        <v>3039084</v>
      </c>
      <c r="G377" s="102" t="str">
        <f t="shared" si="21"/>
        <v/>
      </c>
      <c r="H377" s="102">
        <v>3.2378177108628785E-4</v>
      </c>
      <c r="I377" s="103" t="str">
        <f t="shared" si="22"/>
        <v/>
      </c>
      <c r="J377" s="103">
        <v>0.42799999999999999</v>
      </c>
      <c r="K377" s="103" t="str">
        <f t="shared" si="23"/>
        <v/>
      </c>
    </row>
    <row r="378" spans="2:11" ht="15" customHeight="1">
      <c r="B378" s="98" t="s">
        <v>897</v>
      </c>
      <c r="C378" s="99" t="s">
        <v>898</v>
      </c>
      <c r="D378" s="100">
        <v>497.19900000000001</v>
      </c>
      <c r="E378" s="100">
        <v>68</v>
      </c>
      <c r="F378" s="101">
        <f t="shared" si="20"/>
        <v>33809.531999999999</v>
      </c>
      <c r="G378" s="102">
        <f t="shared" si="21"/>
        <v>9.6950608550620267E-4</v>
      </c>
      <c r="H378" s="102">
        <v>1.7647058823529412E-2</v>
      </c>
      <c r="I378" s="103">
        <f t="shared" si="22"/>
        <v>1.7108930920697695E-5</v>
      </c>
      <c r="J378" s="103">
        <v>5.1500000000000004E-2</v>
      </c>
      <c r="K378" s="103">
        <f t="shared" si="23"/>
        <v>4.992956340356944E-5</v>
      </c>
    </row>
    <row r="379" spans="2:11" ht="15" customHeight="1">
      <c r="B379" s="98" t="s">
        <v>899</v>
      </c>
      <c r="C379" s="99" t="s">
        <v>900</v>
      </c>
      <c r="D379" s="100">
        <v>354.70600000000002</v>
      </c>
      <c r="E379" s="100">
        <v>444.85</v>
      </c>
      <c r="F379" s="101">
        <f t="shared" si="20"/>
        <v>157790.96410000001</v>
      </c>
      <c r="G379" s="102">
        <f t="shared" si="21"/>
        <v>4.5247387610346324E-3</v>
      </c>
      <c r="H379" s="102" t="s">
        <v>243</v>
      </c>
      <c r="I379" s="103" t="str">
        <f t="shared" si="22"/>
        <v/>
      </c>
      <c r="J379" s="103">
        <v>0.1641</v>
      </c>
      <c r="K379" s="103">
        <f t="shared" si="23"/>
        <v>7.4250963068578314E-4</v>
      </c>
    </row>
    <row r="380" spans="2:11" ht="15" customHeight="1">
      <c r="B380" s="98" t="s">
        <v>901</v>
      </c>
      <c r="C380" s="99" t="s">
        <v>902</v>
      </c>
      <c r="D380" s="100">
        <v>171.38499999999999</v>
      </c>
      <c r="E380" s="100">
        <v>155.49</v>
      </c>
      <c r="F380" s="101">
        <f t="shared" si="20"/>
        <v>26648.65365</v>
      </c>
      <c r="G380" s="102" t="str">
        <f t="shared" si="21"/>
        <v/>
      </c>
      <c r="H380" s="102" t="s">
        <v>243</v>
      </c>
      <c r="I380" s="103" t="str">
        <f t="shared" si="22"/>
        <v/>
      </c>
      <c r="J380" s="103">
        <v>0.64769999999999994</v>
      </c>
      <c r="K380" s="103" t="str">
        <f t="shared" si="23"/>
        <v/>
      </c>
    </row>
    <row r="381" spans="2:11" ht="15" customHeight="1">
      <c r="B381" s="98" t="s">
        <v>903</v>
      </c>
      <c r="C381" s="99" t="s">
        <v>904</v>
      </c>
      <c r="D381" s="100">
        <v>314.97500000000002</v>
      </c>
      <c r="E381" s="100">
        <v>194.34</v>
      </c>
      <c r="F381" s="101">
        <f t="shared" si="20"/>
        <v>61212.241500000004</v>
      </c>
      <c r="G381" s="102">
        <f t="shared" si="21"/>
        <v>1.7552931712194457E-3</v>
      </c>
      <c r="H381" s="102">
        <v>1.1011629103632809E-2</v>
      </c>
      <c r="I381" s="103">
        <f t="shared" si="22"/>
        <v>1.9328637369607978E-5</v>
      </c>
      <c r="J381" s="103">
        <v>0.1052</v>
      </c>
      <c r="K381" s="103">
        <f t="shared" si="23"/>
        <v>1.846568416122857E-4</v>
      </c>
    </row>
    <row r="382" spans="2:11" ht="15" customHeight="1">
      <c r="B382" s="98" t="s">
        <v>905</v>
      </c>
      <c r="C382" s="99" t="s">
        <v>906</v>
      </c>
      <c r="D382" s="100">
        <v>506</v>
      </c>
      <c r="E382" s="100">
        <v>53.72</v>
      </c>
      <c r="F382" s="101">
        <f t="shared" si="20"/>
        <v>27182.32</v>
      </c>
      <c r="G382" s="102">
        <f t="shared" si="21"/>
        <v>7.794673010610429E-4</v>
      </c>
      <c r="H382" s="102">
        <v>2.0104244229337306E-2</v>
      </c>
      <c r="I382" s="103">
        <f t="shared" si="22"/>
        <v>1.5670600989313597E-5</v>
      </c>
      <c r="J382" s="103">
        <v>8.8249999999999995E-2</v>
      </c>
      <c r="K382" s="103">
        <f t="shared" si="23"/>
        <v>6.8787989318637026E-5</v>
      </c>
    </row>
    <row r="383" spans="2:11" ht="15" customHeight="1">
      <c r="B383" s="98" t="s">
        <v>907</v>
      </c>
      <c r="C383" s="99" t="s">
        <v>908</v>
      </c>
      <c r="D383" s="100">
        <v>322.46300000000002</v>
      </c>
      <c r="E383" s="100">
        <v>452.32</v>
      </c>
      <c r="F383" s="101">
        <f t="shared" si="20"/>
        <v>145856.46416</v>
      </c>
      <c r="G383" s="102">
        <f t="shared" si="21"/>
        <v>4.1825107077358347E-3</v>
      </c>
      <c r="H383" s="102">
        <v>2.4319066147859923E-2</v>
      </c>
      <c r="I383" s="103">
        <f t="shared" si="22"/>
        <v>1.0171475456556019E-4</v>
      </c>
      <c r="J383" s="103">
        <v>0.14015</v>
      </c>
      <c r="K383" s="103">
        <f t="shared" si="23"/>
        <v>5.8617887568917723E-4</v>
      </c>
    </row>
    <row r="384" spans="2:11" ht="15" customHeight="1">
      <c r="B384" s="98" t="s">
        <v>909</v>
      </c>
      <c r="C384" s="99" t="s">
        <v>910</v>
      </c>
      <c r="D384" s="100">
        <v>107.443</v>
      </c>
      <c r="E384" s="100">
        <v>196.3</v>
      </c>
      <c r="F384" s="101">
        <f t="shared" si="20"/>
        <v>21091.0609</v>
      </c>
      <c r="G384" s="102" t="str">
        <f t="shared" si="21"/>
        <v/>
      </c>
      <c r="H384" s="102">
        <v>1.9969434538970963E-2</v>
      </c>
      <c r="I384" s="103" t="str">
        <f t="shared" si="22"/>
        <v/>
      </c>
      <c r="J384" s="103">
        <v>0.2341</v>
      </c>
      <c r="K384" s="103" t="str">
        <f t="shared" si="23"/>
        <v/>
      </c>
    </row>
    <row r="385" spans="2:11" ht="15" customHeight="1">
      <c r="B385" s="98" t="s">
        <v>1227</v>
      </c>
      <c r="C385" s="99" t="s">
        <v>911</v>
      </c>
      <c r="D385" s="100">
        <v>632.846</v>
      </c>
      <c r="E385" s="100">
        <v>76.06</v>
      </c>
      <c r="F385" s="101">
        <f t="shared" si="20"/>
        <v>48134.266759999999</v>
      </c>
      <c r="G385" s="102">
        <f t="shared" si="21"/>
        <v>1.3802753775236797E-3</v>
      </c>
      <c r="H385" s="102">
        <v>3.2605837496713121E-2</v>
      </c>
      <c r="I385" s="103">
        <f t="shared" si="22"/>
        <v>4.5005034660251455E-5</v>
      </c>
      <c r="J385" s="103">
        <v>0.06</v>
      </c>
      <c r="K385" s="103">
        <f t="shared" si="23"/>
        <v>8.2816522651420774E-5</v>
      </c>
    </row>
    <row r="386" spans="2:11" ht="15" customHeight="1">
      <c r="B386" s="98" t="s">
        <v>912</v>
      </c>
      <c r="C386" s="99" t="s">
        <v>913</v>
      </c>
      <c r="D386" s="100">
        <v>182.6</v>
      </c>
      <c r="E386" s="100">
        <v>420.93</v>
      </c>
      <c r="F386" s="101">
        <f t="shared" si="20"/>
        <v>76861.817999999999</v>
      </c>
      <c r="G386" s="102">
        <f t="shared" si="21"/>
        <v>2.2040529958850122E-3</v>
      </c>
      <c r="H386" s="102">
        <v>8.0773525289240481E-3</v>
      </c>
      <c r="I386" s="103">
        <f t="shared" si="22"/>
        <v>1.7802913040194428E-5</v>
      </c>
      <c r="J386" s="103">
        <v>0.11789999999999999</v>
      </c>
      <c r="K386" s="103">
        <f t="shared" si="23"/>
        <v>2.5985784821484293E-4</v>
      </c>
    </row>
    <row r="387" spans="2:11" ht="15" customHeight="1">
      <c r="B387" s="98" t="s">
        <v>914</v>
      </c>
      <c r="C387" s="99" t="s">
        <v>915</v>
      </c>
      <c r="D387" s="100">
        <v>430.23200000000003</v>
      </c>
      <c r="E387" s="100">
        <v>68.55</v>
      </c>
      <c r="F387" s="101">
        <f t="shared" si="20"/>
        <v>29492.403600000001</v>
      </c>
      <c r="G387" s="102">
        <f t="shared" si="21"/>
        <v>8.4571016145402545E-4</v>
      </c>
      <c r="H387" s="102" t="s">
        <v>243</v>
      </c>
      <c r="I387" s="103" t="str">
        <f t="shared" si="22"/>
        <v/>
      </c>
      <c r="J387" s="103">
        <v>2.64E-2</v>
      </c>
      <c r="K387" s="103">
        <f t="shared" si="23"/>
        <v>2.2326748262386272E-5</v>
      </c>
    </row>
    <row r="388" spans="2:11" ht="15" customHeight="1">
      <c r="B388" s="98" t="s">
        <v>916</v>
      </c>
      <c r="C388" s="99" t="s">
        <v>917</v>
      </c>
      <c r="D388" s="100">
        <v>33.927999999999997</v>
      </c>
      <c r="E388" s="100">
        <v>3961.5</v>
      </c>
      <c r="F388" s="101">
        <f t="shared" si="20"/>
        <v>134405.772</v>
      </c>
      <c r="G388" s="102">
        <f t="shared" si="21"/>
        <v>3.8541560966049212E-3</v>
      </c>
      <c r="H388" s="102">
        <v>8.8350372333711978E-3</v>
      </c>
      <c r="I388" s="103">
        <f t="shared" si="22"/>
        <v>3.4051612616729077E-5</v>
      </c>
      <c r="J388" s="103">
        <v>0.15029999999999999</v>
      </c>
      <c r="K388" s="103">
        <f t="shared" si="23"/>
        <v>5.7927966131971962E-4</v>
      </c>
    </row>
    <row r="389" spans="2:11" ht="15" customHeight="1">
      <c r="B389" s="98" t="s">
        <v>918</v>
      </c>
      <c r="C389" s="99" t="s">
        <v>919</v>
      </c>
      <c r="D389" s="100">
        <v>58.610999999999997</v>
      </c>
      <c r="E389" s="100">
        <v>172.23</v>
      </c>
      <c r="F389" s="101">
        <f t="shared" si="20"/>
        <v>10094.572529999999</v>
      </c>
      <c r="G389" s="102">
        <f t="shared" si="21"/>
        <v>2.8946716856118401E-4</v>
      </c>
      <c r="H389" s="102" t="s">
        <v>243</v>
      </c>
      <c r="I389" s="103" t="str">
        <f t="shared" si="22"/>
        <v/>
      </c>
      <c r="J389" s="103">
        <v>7.8100000000000003E-2</v>
      </c>
      <c r="K389" s="103">
        <f t="shared" si="23"/>
        <v>2.2607385864628473E-5</v>
      </c>
    </row>
    <row r="390" spans="2:11" ht="15" customHeight="1">
      <c r="B390" s="98" t="s">
        <v>920</v>
      </c>
      <c r="C390" s="99" t="s">
        <v>921</v>
      </c>
      <c r="D390" s="100">
        <v>152.31700000000001</v>
      </c>
      <c r="E390" s="100">
        <v>90.08</v>
      </c>
      <c r="F390" s="101">
        <f t="shared" si="20"/>
        <v>13720.71536</v>
      </c>
      <c r="G390" s="102">
        <f t="shared" si="21"/>
        <v>3.9344871851578508E-4</v>
      </c>
      <c r="H390" s="102" t="s">
        <v>243</v>
      </c>
      <c r="I390" s="103" t="str">
        <f t="shared" si="22"/>
        <v/>
      </c>
      <c r="J390" s="103">
        <v>1.54E-2</v>
      </c>
      <c r="K390" s="103">
        <f t="shared" si="23"/>
        <v>6.0591102651430906E-6</v>
      </c>
    </row>
    <row r="391" spans="2:11" ht="15" customHeight="1">
      <c r="B391" s="98" t="s">
        <v>922</v>
      </c>
      <c r="C391" s="99" t="s">
        <v>923</v>
      </c>
      <c r="D391" s="100">
        <v>51.512</v>
      </c>
      <c r="E391" s="100">
        <v>206.58</v>
      </c>
      <c r="F391" s="101">
        <f t="shared" si="20"/>
        <v>10641.348960000001</v>
      </c>
      <c r="G391" s="102">
        <f t="shared" si="21"/>
        <v>3.0514626983642074E-4</v>
      </c>
      <c r="H391" s="102" t="s">
        <v>243</v>
      </c>
      <c r="I391" s="103" t="str">
        <f t="shared" si="22"/>
        <v/>
      </c>
      <c r="J391" s="103">
        <v>9.8100000000000007E-2</v>
      </c>
      <c r="K391" s="103">
        <f t="shared" si="23"/>
        <v>2.9934849070952878E-5</v>
      </c>
    </row>
    <row r="392" spans="2:11" ht="15" customHeight="1">
      <c r="B392" s="98" t="s">
        <v>924</v>
      </c>
      <c r="C392" s="99" t="s">
        <v>925</v>
      </c>
      <c r="D392" s="100">
        <v>37.896999999999998</v>
      </c>
      <c r="E392" s="100">
        <v>200.53</v>
      </c>
      <c r="F392" s="101">
        <f t="shared" si="20"/>
        <v>7599.4854099999993</v>
      </c>
      <c r="G392" s="102">
        <f t="shared" si="21"/>
        <v>2.1791923507579456E-4</v>
      </c>
      <c r="H392" s="102">
        <v>1.4760883658305491E-2</v>
      </c>
      <c r="I392" s="103">
        <f t="shared" si="22"/>
        <v>3.2166804758607287E-6</v>
      </c>
      <c r="J392" s="103">
        <v>3.0699999999999998E-2</v>
      </c>
      <c r="K392" s="103">
        <f t="shared" si="23"/>
        <v>6.690120516826893E-6</v>
      </c>
    </row>
    <row r="393" spans="2:11" ht="15" customHeight="1">
      <c r="B393" s="98" t="s">
        <v>926</v>
      </c>
      <c r="C393" s="99" t="s">
        <v>927</v>
      </c>
      <c r="D393" s="100">
        <v>632</v>
      </c>
      <c r="E393" s="100">
        <v>47.4</v>
      </c>
      <c r="F393" s="101">
        <f t="shared" si="20"/>
        <v>29956.799999999999</v>
      </c>
      <c r="G393" s="102">
        <f t="shared" si="21"/>
        <v>8.5902697210633416E-4</v>
      </c>
      <c r="H393" s="102">
        <v>2.9535864978902954E-2</v>
      </c>
      <c r="I393" s="103">
        <f t="shared" si="22"/>
        <v>2.5372104661368521E-5</v>
      </c>
      <c r="J393" s="103">
        <v>7.22E-2</v>
      </c>
      <c r="K393" s="103">
        <f t="shared" si="23"/>
        <v>6.2021747386077324E-5</v>
      </c>
    </row>
    <row r="394" spans="2:11" ht="15" customHeight="1">
      <c r="B394" s="98" t="s">
        <v>928</v>
      </c>
      <c r="C394" s="99" t="s">
        <v>929</v>
      </c>
      <c r="D394" s="100">
        <v>157.58500000000001</v>
      </c>
      <c r="E394" s="100">
        <v>71.650000000000006</v>
      </c>
      <c r="F394" s="101">
        <f t="shared" si="20"/>
        <v>11290.965250000001</v>
      </c>
      <c r="G394" s="102" t="str">
        <f t="shared" si="21"/>
        <v/>
      </c>
      <c r="H394" s="102">
        <v>4.4661549197487788E-3</v>
      </c>
      <c r="I394" s="103" t="str">
        <f t="shared" si="22"/>
        <v/>
      </c>
      <c r="J394" s="103" t="s">
        <v>243</v>
      </c>
      <c r="K394" s="103" t="str">
        <f t="shared" si="23"/>
        <v/>
      </c>
    </row>
    <row r="395" spans="2:11" ht="15" customHeight="1">
      <c r="B395" s="98" t="s">
        <v>930</v>
      </c>
      <c r="C395" s="99" t="s">
        <v>931</v>
      </c>
      <c r="D395" s="100">
        <v>5874</v>
      </c>
      <c r="E395" s="100">
        <v>182.15</v>
      </c>
      <c r="F395" s="101">
        <f t="shared" si="20"/>
        <v>1069949.1000000001</v>
      </c>
      <c r="G395" s="102">
        <f t="shared" si="21"/>
        <v>3.0681352336728137E-2</v>
      </c>
      <c r="H395" s="102">
        <v>4.3919846280538015E-3</v>
      </c>
      <c r="I395" s="103">
        <f t="shared" si="22"/>
        <v>1.3475202783081255E-4</v>
      </c>
      <c r="J395" s="103">
        <v>0.15010000000000001</v>
      </c>
      <c r="K395" s="103">
        <f t="shared" si="23"/>
        <v>4.6052709857428934E-3</v>
      </c>
    </row>
    <row r="396" spans="2:11" ht="15" customHeight="1">
      <c r="B396" s="98" t="s">
        <v>932</v>
      </c>
      <c r="C396" s="99" t="s">
        <v>933</v>
      </c>
      <c r="D396" s="100">
        <v>47.103000000000002</v>
      </c>
      <c r="E396" s="100">
        <v>210.33</v>
      </c>
      <c r="F396" s="101">
        <f t="shared" si="20"/>
        <v>9907.1739900000011</v>
      </c>
      <c r="G396" s="102">
        <f t="shared" si="21"/>
        <v>2.8409341701250902E-4</v>
      </c>
      <c r="H396" s="102">
        <v>6.466029572576428E-3</v>
      </c>
      <c r="I396" s="103">
        <f t="shared" si="22"/>
        <v>1.8369564357771705E-6</v>
      </c>
      <c r="J396" s="103">
        <v>7.51E-2</v>
      </c>
      <c r="K396" s="103">
        <f t="shared" si="23"/>
        <v>2.1335415617639427E-5</v>
      </c>
    </row>
    <row r="397" spans="2:11" ht="15" customHeight="1">
      <c r="B397" s="98" t="s">
        <v>934</v>
      </c>
      <c r="C397" s="99" t="s">
        <v>935</v>
      </c>
      <c r="D397" s="100">
        <v>87.441000000000003</v>
      </c>
      <c r="E397" s="100">
        <v>118.15</v>
      </c>
      <c r="F397" s="101">
        <f t="shared" si="20"/>
        <v>10331.15415</v>
      </c>
      <c r="G397" s="102">
        <f t="shared" si="21"/>
        <v>2.9625127075783426E-4</v>
      </c>
      <c r="H397" s="102">
        <v>1.6250528988573845E-2</v>
      </c>
      <c r="I397" s="103">
        <f t="shared" si="22"/>
        <v>4.8142398633520242E-6</v>
      </c>
      <c r="J397" s="103">
        <v>7.2450000000000001E-2</v>
      </c>
      <c r="K397" s="103">
        <f t="shared" si="23"/>
        <v>2.1463404566405094E-5</v>
      </c>
    </row>
    <row r="398" spans="2:11" ht="15" customHeight="1">
      <c r="B398" s="98" t="s">
        <v>936</v>
      </c>
      <c r="C398" s="99" t="s">
        <v>937</v>
      </c>
      <c r="D398" s="100">
        <v>430.90100000000001</v>
      </c>
      <c r="E398" s="100">
        <v>674.88</v>
      </c>
      <c r="F398" s="101">
        <f t="shared" si="20"/>
        <v>290806.46688000002</v>
      </c>
      <c r="G398" s="102" t="str">
        <f t="shared" si="21"/>
        <v/>
      </c>
      <c r="H398" s="102" t="s">
        <v>243</v>
      </c>
      <c r="I398" s="103" t="str">
        <f t="shared" si="22"/>
        <v/>
      </c>
      <c r="J398" s="103">
        <v>0.35604999999999998</v>
      </c>
      <c r="K398" s="103" t="str">
        <f t="shared" si="23"/>
        <v/>
      </c>
    </row>
    <row r="399" spans="2:11" ht="15" customHeight="1">
      <c r="B399" s="98" t="s">
        <v>938</v>
      </c>
      <c r="C399" s="99" t="s">
        <v>939</v>
      </c>
      <c r="D399" s="100">
        <v>2450.3130000000001</v>
      </c>
      <c r="E399" s="100">
        <v>7.44</v>
      </c>
      <c r="F399" s="101">
        <f t="shared" si="20"/>
        <v>18230.328720000001</v>
      </c>
      <c r="G399" s="102" t="str">
        <f t="shared" si="21"/>
        <v/>
      </c>
      <c r="H399" s="102" t="s">
        <v>243</v>
      </c>
      <c r="I399" s="103" t="str">
        <f t="shared" si="22"/>
        <v/>
      </c>
      <c r="J399" s="103">
        <v>0.3478</v>
      </c>
      <c r="K399" s="103" t="str">
        <f t="shared" si="23"/>
        <v/>
      </c>
    </row>
    <row r="400" spans="2:11" ht="15" customHeight="1">
      <c r="B400" s="98" t="s">
        <v>940</v>
      </c>
      <c r="C400" s="99" t="s">
        <v>941</v>
      </c>
      <c r="D400" s="100">
        <v>291.76100000000002</v>
      </c>
      <c r="E400" s="100">
        <v>129.63</v>
      </c>
      <c r="F400" s="101">
        <f t="shared" ref="F400:F463" si="24">D400*E400</f>
        <v>37820.978430000003</v>
      </c>
      <c r="G400" s="102">
        <f t="shared" ref="G400:G463" si="25">IF(AND(ISNUMBER($J400)), IF(AND($J400&lt;=20%,$J400&gt;0%), $F400/SUMIFS($F$15:$F$517,$J$15:$J$517, "&gt;"&amp;0%,$J$15:$J$517, "&lt;="&amp;20%),""),"")</f>
        <v>1.0845364185367555E-3</v>
      </c>
      <c r="H400" s="102">
        <v>7.2822649078145493E-3</v>
      </c>
      <c r="I400" s="103">
        <f t="shared" ref="I400:I463" si="26">IFERROR(G400*H400,"")</f>
        <v>7.897881501957087E-6</v>
      </c>
      <c r="J400" s="103">
        <v>5.2300000000000006E-2</v>
      </c>
      <c r="K400" s="103">
        <f t="shared" ref="K400:K463" si="27">IFERROR(G400*J400,"")</f>
        <v>5.672125468947232E-5</v>
      </c>
    </row>
    <row r="401" spans="2:11" ht="15" customHeight="1">
      <c r="B401" s="98" t="s">
        <v>942</v>
      </c>
      <c r="C401" s="99" t="s">
        <v>943</v>
      </c>
      <c r="D401" s="100">
        <v>244.208</v>
      </c>
      <c r="E401" s="100">
        <v>55.92</v>
      </c>
      <c r="F401" s="101">
        <f t="shared" si="24"/>
        <v>13656.111360000001</v>
      </c>
      <c r="G401" s="102">
        <f t="shared" si="25"/>
        <v>3.9159616488836302E-4</v>
      </c>
      <c r="H401" s="102" t="s">
        <v>243</v>
      </c>
      <c r="I401" s="103" t="str">
        <f t="shared" si="26"/>
        <v/>
      </c>
      <c r="J401" s="103">
        <v>0.1</v>
      </c>
      <c r="K401" s="103">
        <f t="shared" si="27"/>
        <v>3.9159616488836308E-5</v>
      </c>
    </row>
    <row r="402" spans="2:11" ht="15" customHeight="1">
      <c r="B402" s="98" t="s">
        <v>944</v>
      </c>
      <c r="C402" s="99" t="s">
        <v>945</v>
      </c>
      <c r="D402" s="100">
        <v>232.41800000000001</v>
      </c>
      <c r="E402" s="100">
        <v>541.86</v>
      </c>
      <c r="F402" s="101">
        <f t="shared" si="24"/>
        <v>125938.01748000001</v>
      </c>
      <c r="G402" s="102">
        <f t="shared" si="25"/>
        <v>3.611338788819867E-3</v>
      </c>
      <c r="H402" s="102">
        <v>1.2032628354187428E-2</v>
      </c>
      <c r="I402" s="103">
        <f t="shared" si="26"/>
        <v>4.3453897506930814E-5</v>
      </c>
      <c r="J402" s="103">
        <v>0.12029999999999999</v>
      </c>
      <c r="K402" s="103">
        <f t="shared" si="27"/>
        <v>4.3444405629502997E-4</v>
      </c>
    </row>
    <row r="403" spans="2:11" ht="15" customHeight="1">
      <c r="B403" s="98" t="s">
        <v>946</v>
      </c>
      <c r="C403" s="99" t="s">
        <v>947</v>
      </c>
      <c r="D403" s="100">
        <v>360.06200000000001</v>
      </c>
      <c r="E403" s="100">
        <v>196.6</v>
      </c>
      <c r="F403" s="101">
        <f t="shared" si="24"/>
        <v>70788.189199999993</v>
      </c>
      <c r="G403" s="102">
        <f t="shared" si="25"/>
        <v>2.0298885004194807E-3</v>
      </c>
      <c r="H403" s="102">
        <v>2.3397761953204473E-2</v>
      </c>
      <c r="I403" s="103">
        <f t="shared" si="26"/>
        <v>4.749484792436221E-5</v>
      </c>
      <c r="J403" s="103">
        <v>4.9000000000000002E-2</v>
      </c>
      <c r="K403" s="103">
        <f t="shared" si="27"/>
        <v>9.9464536520554555E-5</v>
      </c>
    </row>
    <row r="404" spans="2:11" ht="15" customHeight="1">
      <c r="B404" s="98" t="s">
        <v>948</v>
      </c>
      <c r="C404" s="99" t="s">
        <v>949</v>
      </c>
      <c r="D404" s="100">
        <v>324.988</v>
      </c>
      <c r="E404" s="100">
        <v>36.46</v>
      </c>
      <c r="F404" s="101">
        <f t="shared" si="24"/>
        <v>11849.062480000001</v>
      </c>
      <c r="G404" s="102">
        <f t="shared" si="25"/>
        <v>3.3977808926498061E-4</v>
      </c>
      <c r="H404" s="102">
        <v>2.4136039495337356E-2</v>
      </c>
      <c r="I404" s="103">
        <f t="shared" si="26"/>
        <v>8.2008973821498339E-6</v>
      </c>
      <c r="J404" s="103">
        <v>4.7800000000000002E-2</v>
      </c>
      <c r="K404" s="103">
        <f t="shared" si="27"/>
        <v>1.6241392666866073E-5</v>
      </c>
    </row>
    <row r="405" spans="2:11" ht="15" customHeight="1">
      <c r="B405" s="98" t="s">
        <v>950</v>
      </c>
      <c r="C405" s="99" t="s">
        <v>951</v>
      </c>
      <c r="D405" s="100">
        <v>148.6</v>
      </c>
      <c r="E405" s="100">
        <v>787.32</v>
      </c>
      <c r="F405" s="101">
        <f t="shared" si="24"/>
        <v>116995.75200000001</v>
      </c>
      <c r="G405" s="102">
        <f t="shared" si="25"/>
        <v>3.3549146300627434E-3</v>
      </c>
      <c r="H405" s="102">
        <v>2.5910684346898336E-2</v>
      </c>
      <c r="I405" s="103">
        <f t="shared" si="26"/>
        <v>8.6928133990346953E-5</v>
      </c>
      <c r="J405" s="103">
        <v>0.11890000000000001</v>
      </c>
      <c r="K405" s="103">
        <f t="shared" si="27"/>
        <v>3.9889934951446021E-4</v>
      </c>
    </row>
    <row r="406" spans="2:11" ht="15" customHeight="1">
      <c r="B406" s="98" t="s">
        <v>952</v>
      </c>
      <c r="C406" s="99" t="s">
        <v>953</v>
      </c>
      <c r="D406" s="100">
        <v>206.92500000000001</v>
      </c>
      <c r="E406" s="100">
        <v>111.01</v>
      </c>
      <c r="F406" s="101">
        <f t="shared" si="24"/>
        <v>22970.744250000003</v>
      </c>
      <c r="G406" s="102">
        <f t="shared" si="25"/>
        <v>6.5869815467962164E-4</v>
      </c>
      <c r="H406" s="102">
        <v>3.6753445635528327E-2</v>
      </c>
      <c r="I406" s="103">
        <f t="shared" si="26"/>
        <v>2.4209426818240302E-5</v>
      </c>
      <c r="J406" s="103">
        <v>9.1999999999999998E-2</v>
      </c>
      <c r="K406" s="103">
        <f t="shared" si="27"/>
        <v>6.0600230230525192E-5</v>
      </c>
    </row>
    <row r="407" spans="2:11" ht="15" customHeight="1">
      <c r="B407" s="98" t="s">
        <v>954</v>
      </c>
      <c r="C407" s="99" t="s">
        <v>955</v>
      </c>
      <c r="D407" s="100">
        <v>109.22</v>
      </c>
      <c r="E407" s="100">
        <v>134.88999999999999</v>
      </c>
      <c r="F407" s="101">
        <f t="shared" si="24"/>
        <v>14732.685799999997</v>
      </c>
      <c r="G407" s="102">
        <f t="shared" si="25"/>
        <v>4.2246750232895311E-4</v>
      </c>
      <c r="H407" s="102">
        <v>2.0757654385054489E-2</v>
      </c>
      <c r="I407" s="103">
        <f t="shared" si="26"/>
        <v>8.7694344022616107E-6</v>
      </c>
      <c r="J407" s="103">
        <v>3.6900000000000002E-2</v>
      </c>
      <c r="K407" s="103">
        <f t="shared" si="27"/>
        <v>1.558905083593837E-5</v>
      </c>
    </row>
    <row r="408" spans="2:11" ht="15" customHeight="1">
      <c r="B408" s="98" t="s">
        <v>956</v>
      </c>
      <c r="C408" s="99" t="s">
        <v>957</v>
      </c>
      <c r="D408" s="100">
        <v>576.53300000000002</v>
      </c>
      <c r="E408" s="100">
        <v>60.26</v>
      </c>
      <c r="F408" s="101">
        <f t="shared" si="24"/>
        <v>34741.878579999997</v>
      </c>
      <c r="G408" s="102">
        <f t="shared" si="25"/>
        <v>9.9624161331862237E-4</v>
      </c>
      <c r="H408" s="102">
        <v>1.5930965814802522E-2</v>
      </c>
      <c r="I408" s="103">
        <f t="shared" si="26"/>
        <v>1.5871091085062687E-5</v>
      </c>
      <c r="J408" s="103">
        <v>5.7200000000000001E-2</v>
      </c>
      <c r="K408" s="103">
        <f t="shared" si="27"/>
        <v>5.6985020281825201E-5</v>
      </c>
    </row>
    <row r="409" spans="2:11" ht="15" customHeight="1">
      <c r="B409" s="98" t="s">
        <v>958</v>
      </c>
      <c r="C409" s="99" t="s">
        <v>959</v>
      </c>
      <c r="D409" s="100">
        <v>1554.557</v>
      </c>
      <c r="E409" s="100">
        <v>101.33</v>
      </c>
      <c r="F409" s="101">
        <f t="shared" si="24"/>
        <v>157523.26081000001</v>
      </c>
      <c r="G409" s="102">
        <f t="shared" si="25"/>
        <v>4.5170622286068831E-3</v>
      </c>
      <c r="H409" s="102">
        <v>5.1317477548603573E-2</v>
      </c>
      <c r="I409" s="103">
        <f t="shared" si="26"/>
        <v>2.3180423950217895E-4</v>
      </c>
      <c r="J409" s="103">
        <v>8.9900000000000008E-2</v>
      </c>
      <c r="K409" s="103">
        <f t="shared" si="27"/>
        <v>4.0608389435175884E-4</v>
      </c>
    </row>
    <row r="410" spans="2:11" ht="15" customHeight="1">
      <c r="B410" s="98" t="s">
        <v>960</v>
      </c>
      <c r="C410" s="99" t="s">
        <v>961</v>
      </c>
      <c r="D410" s="100">
        <v>403.43200000000002</v>
      </c>
      <c r="E410" s="100">
        <v>90.84</v>
      </c>
      <c r="F410" s="101">
        <f t="shared" si="24"/>
        <v>36647.762880000002</v>
      </c>
      <c r="G410" s="102">
        <f t="shared" si="25"/>
        <v>1.0508938465148918E-3</v>
      </c>
      <c r="H410" s="102">
        <v>8.8066930867459266E-4</v>
      </c>
      <c r="I410" s="103">
        <f t="shared" si="26"/>
        <v>9.2548995730065325E-7</v>
      </c>
      <c r="J410" s="103">
        <v>0.16</v>
      </c>
      <c r="K410" s="103">
        <f t="shared" si="27"/>
        <v>1.6814301544238269E-4</v>
      </c>
    </row>
    <row r="411" spans="2:11" ht="15" customHeight="1">
      <c r="B411" s="98" t="s">
        <v>962</v>
      </c>
      <c r="C411" s="99" t="s">
        <v>963</v>
      </c>
      <c r="D411" s="100">
        <v>969</v>
      </c>
      <c r="E411" s="100">
        <v>257.10000000000002</v>
      </c>
      <c r="F411" s="101">
        <f t="shared" si="24"/>
        <v>249129.90000000002</v>
      </c>
      <c r="G411" s="102">
        <f t="shared" si="25"/>
        <v>7.1439307155021173E-3</v>
      </c>
      <c r="H411" s="102">
        <v>6.2232594321275769E-3</v>
      </c>
      <c r="I411" s="103">
        <f t="shared" si="26"/>
        <v>4.4458534207714462E-5</v>
      </c>
      <c r="J411" s="103">
        <v>0.17335</v>
      </c>
      <c r="K411" s="103">
        <f t="shared" si="27"/>
        <v>1.238400389532292E-3</v>
      </c>
    </row>
    <row r="412" spans="2:11" ht="15" customHeight="1">
      <c r="B412" s="98" t="s">
        <v>732</v>
      </c>
      <c r="C412" s="99" t="s">
        <v>733</v>
      </c>
      <c r="D412" s="100">
        <v>107.045</v>
      </c>
      <c r="E412" s="100">
        <v>563.66</v>
      </c>
      <c r="F412" s="101">
        <f t="shared" si="24"/>
        <v>60336.984700000001</v>
      </c>
      <c r="G412" s="102" t="str">
        <f t="shared" si="25"/>
        <v/>
      </c>
      <c r="H412" s="102">
        <v>5.3223574495263101E-3</v>
      </c>
      <c r="I412" s="103" t="str">
        <f t="shared" si="26"/>
        <v/>
      </c>
      <c r="J412" s="103" t="s">
        <v>243</v>
      </c>
      <c r="K412" s="103" t="str">
        <f t="shared" si="27"/>
        <v/>
      </c>
    </row>
    <row r="413" spans="2:11" ht="15" customHeight="1">
      <c r="B413" s="98" t="s">
        <v>964</v>
      </c>
      <c r="C413" s="99" t="s">
        <v>965</v>
      </c>
      <c r="D413" s="100">
        <v>39.433</v>
      </c>
      <c r="E413" s="100">
        <v>246.33</v>
      </c>
      <c r="F413" s="101">
        <f t="shared" si="24"/>
        <v>9713.53089</v>
      </c>
      <c r="G413" s="102">
        <f t="shared" si="25"/>
        <v>2.7854059942644227E-4</v>
      </c>
      <c r="H413" s="102">
        <v>2.1109893232655382E-2</v>
      </c>
      <c r="I413" s="103">
        <f t="shared" si="26"/>
        <v>5.879962314852027E-6</v>
      </c>
      <c r="J413" s="103">
        <v>7.7800000000000008E-2</v>
      </c>
      <c r="K413" s="103">
        <f t="shared" si="27"/>
        <v>2.1670458635377212E-5</v>
      </c>
    </row>
    <row r="414" spans="2:11" ht="15" customHeight="1">
      <c r="B414" s="98" t="s">
        <v>966</v>
      </c>
      <c r="C414" s="99" t="s">
        <v>967</v>
      </c>
      <c r="D414" s="100">
        <v>711.12300000000005</v>
      </c>
      <c r="E414" s="100">
        <v>70.19</v>
      </c>
      <c r="F414" s="101">
        <f t="shared" si="24"/>
        <v>49913.72337</v>
      </c>
      <c r="G414" s="102">
        <f t="shared" si="25"/>
        <v>1.4313022303144619E-3</v>
      </c>
      <c r="H414" s="102">
        <v>3.1058555349764927E-2</v>
      </c>
      <c r="I414" s="103">
        <f t="shared" si="26"/>
        <v>4.4454179542463706E-5</v>
      </c>
      <c r="J414" s="103">
        <v>0.13849999999999998</v>
      </c>
      <c r="K414" s="103">
        <f t="shared" si="27"/>
        <v>1.9823535889855294E-4</v>
      </c>
    </row>
    <row r="415" spans="2:11" ht="15" customHeight="1">
      <c r="B415" s="98" t="s">
        <v>968</v>
      </c>
      <c r="C415" s="99" t="s">
        <v>969</v>
      </c>
      <c r="D415" s="100">
        <v>229.773</v>
      </c>
      <c r="E415" s="100">
        <v>42.79</v>
      </c>
      <c r="F415" s="101">
        <f t="shared" si="24"/>
        <v>9831.9866700000002</v>
      </c>
      <c r="G415" s="102">
        <f t="shared" si="25"/>
        <v>2.81937381126153E-4</v>
      </c>
      <c r="H415" s="102">
        <v>3.2717924748773074E-2</v>
      </c>
      <c r="I415" s="103">
        <f t="shared" si="26"/>
        <v>9.2244060195516269E-6</v>
      </c>
      <c r="J415" s="103">
        <v>9.9049999999999999E-2</v>
      </c>
      <c r="K415" s="103">
        <f t="shared" si="27"/>
        <v>2.7925897600545453E-5</v>
      </c>
    </row>
    <row r="416" spans="2:11" ht="15" customHeight="1">
      <c r="B416" s="98" t="s">
        <v>970</v>
      </c>
      <c r="C416" s="99" t="s">
        <v>971</v>
      </c>
      <c r="D416" s="100">
        <v>1954.9269999999999</v>
      </c>
      <c r="E416" s="100">
        <v>33.450000000000003</v>
      </c>
      <c r="F416" s="101">
        <f t="shared" si="24"/>
        <v>65392.308150000004</v>
      </c>
      <c r="G416" s="102">
        <f t="shared" si="25"/>
        <v>1.8751587776110552E-3</v>
      </c>
      <c r="H416" s="102">
        <v>1.4349775784753362E-2</v>
      </c>
      <c r="I416" s="103">
        <f t="shared" si="26"/>
        <v>2.6908108019530834E-5</v>
      </c>
      <c r="J416" s="103">
        <v>0.1076</v>
      </c>
      <c r="K416" s="103">
        <f t="shared" si="27"/>
        <v>2.0176708447094954E-4</v>
      </c>
    </row>
    <row r="417" spans="2:11" ht="15" customHeight="1">
      <c r="B417" s="98" t="s">
        <v>972</v>
      </c>
      <c r="C417" s="99" t="s">
        <v>973</v>
      </c>
      <c r="D417" s="100">
        <v>601.29999999999995</v>
      </c>
      <c r="E417" s="100">
        <v>92.37</v>
      </c>
      <c r="F417" s="101">
        <f t="shared" si="24"/>
        <v>55542.080999999998</v>
      </c>
      <c r="G417" s="102">
        <f t="shared" si="25"/>
        <v>1.5926983411417358E-3</v>
      </c>
      <c r="H417" s="102" t="s">
        <v>243</v>
      </c>
      <c r="I417" s="103" t="str">
        <f t="shared" si="26"/>
        <v/>
      </c>
      <c r="J417" s="103">
        <v>9.0329999999999994E-2</v>
      </c>
      <c r="K417" s="103">
        <f t="shared" si="27"/>
        <v>1.4386844115533298E-4</v>
      </c>
    </row>
    <row r="418" spans="2:11" ht="15" customHeight="1">
      <c r="B418" s="98" t="s">
        <v>974</v>
      </c>
      <c r="C418" s="99" t="s">
        <v>975</v>
      </c>
      <c r="D418" s="100">
        <v>99.325000000000003</v>
      </c>
      <c r="E418" s="100">
        <v>427.19</v>
      </c>
      <c r="F418" s="101">
        <f t="shared" si="24"/>
        <v>42430.64675</v>
      </c>
      <c r="G418" s="102" t="str">
        <f t="shared" si="25"/>
        <v/>
      </c>
      <c r="H418" s="102">
        <v>1.385800229406119E-2</v>
      </c>
      <c r="I418" s="103" t="str">
        <f t="shared" si="26"/>
        <v/>
      </c>
      <c r="J418" s="103" t="s">
        <v>243</v>
      </c>
      <c r="K418" s="103" t="str">
        <f t="shared" si="27"/>
        <v/>
      </c>
    </row>
    <row r="419" spans="2:11" ht="15" customHeight="1">
      <c r="B419" s="98" t="s">
        <v>976</v>
      </c>
      <c r="C419" s="99" t="s">
        <v>977</v>
      </c>
      <c r="D419" s="100">
        <v>51.418999999999997</v>
      </c>
      <c r="E419" s="100">
        <v>308.93</v>
      </c>
      <c r="F419" s="101">
        <f t="shared" si="24"/>
        <v>15884.871669999999</v>
      </c>
      <c r="G419" s="102" t="str">
        <f t="shared" si="25"/>
        <v/>
      </c>
      <c r="H419" s="102" t="s">
        <v>243</v>
      </c>
      <c r="I419" s="103" t="str">
        <f t="shared" si="26"/>
        <v/>
      </c>
      <c r="J419" s="103" t="s">
        <v>243</v>
      </c>
      <c r="K419" s="103" t="str">
        <f t="shared" si="27"/>
        <v/>
      </c>
    </row>
    <row r="420" spans="2:11" ht="15" customHeight="1">
      <c r="B420" s="98" t="s">
        <v>978</v>
      </c>
      <c r="C420" s="99" t="s">
        <v>979</v>
      </c>
      <c r="D420" s="100">
        <v>205.72800000000001</v>
      </c>
      <c r="E420" s="100">
        <v>108.53</v>
      </c>
      <c r="F420" s="101">
        <f t="shared" si="24"/>
        <v>22327.65984</v>
      </c>
      <c r="G420" s="102">
        <f t="shared" si="25"/>
        <v>6.4025737150080774E-4</v>
      </c>
      <c r="H420" s="102">
        <v>8.8454805123007463E-3</v>
      </c>
      <c r="I420" s="103">
        <f t="shared" si="26"/>
        <v>5.6633841024672945E-6</v>
      </c>
      <c r="J420" s="103">
        <v>7.0000000000000007E-2</v>
      </c>
      <c r="K420" s="103">
        <f t="shared" si="27"/>
        <v>4.4818016005056543E-5</v>
      </c>
    </row>
    <row r="421" spans="2:11" ht="15" customHeight="1">
      <c r="B421" s="98" t="s">
        <v>980</v>
      </c>
      <c r="C421" s="99" t="s">
        <v>981</v>
      </c>
      <c r="D421" s="100">
        <v>106.535</v>
      </c>
      <c r="E421" s="100">
        <v>109.11</v>
      </c>
      <c r="F421" s="101">
        <f t="shared" si="24"/>
        <v>11624.03385</v>
      </c>
      <c r="G421" s="102">
        <f t="shared" si="25"/>
        <v>3.3332527512374598E-4</v>
      </c>
      <c r="H421" s="102">
        <v>3.77600586564018E-2</v>
      </c>
      <c r="I421" s="103">
        <f t="shared" si="26"/>
        <v>1.2586381940333916E-5</v>
      </c>
      <c r="J421" s="103">
        <v>1.5900000000000001E-2</v>
      </c>
      <c r="K421" s="103">
        <f t="shared" si="27"/>
        <v>5.2998718744675615E-6</v>
      </c>
    </row>
    <row r="422" spans="2:11" ht="15" customHeight="1">
      <c r="B422" s="98" t="s">
        <v>982</v>
      </c>
      <c r="C422" s="99" t="s">
        <v>983</v>
      </c>
      <c r="D422" s="100">
        <v>306.82400000000001</v>
      </c>
      <c r="E422" s="100">
        <v>89.11</v>
      </c>
      <c r="F422" s="101">
        <f t="shared" si="24"/>
        <v>27341.086640000001</v>
      </c>
      <c r="G422" s="102" t="str">
        <f t="shared" si="25"/>
        <v/>
      </c>
      <c r="H422" s="102" t="s">
        <v>243</v>
      </c>
      <c r="I422" s="103" t="str">
        <f t="shared" si="26"/>
        <v/>
      </c>
      <c r="J422" s="103" t="s">
        <v>243</v>
      </c>
      <c r="K422" s="103" t="str">
        <f t="shared" si="27"/>
        <v/>
      </c>
    </row>
    <row r="423" spans="2:11" ht="15" customHeight="1">
      <c r="B423" s="98" t="s">
        <v>984</v>
      </c>
      <c r="C423" s="99" t="s">
        <v>985</v>
      </c>
      <c r="D423" s="100">
        <v>922.47</v>
      </c>
      <c r="E423" s="100">
        <v>441.16</v>
      </c>
      <c r="F423" s="101">
        <f t="shared" si="24"/>
        <v>406956.86520000006</v>
      </c>
      <c r="G423" s="102">
        <f t="shared" si="25"/>
        <v>1.166970182698558E-2</v>
      </c>
      <c r="H423" s="102">
        <v>5.9842234110073439E-3</v>
      </c>
      <c r="I423" s="103">
        <f t="shared" si="26"/>
        <v>6.9834102872522278E-5</v>
      </c>
      <c r="J423" s="103">
        <v>0.15534999999999999</v>
      </c>
      <c r="K423" s="103">
        <f t="shared" si="27"/>
        <v>1.8128881788222098E-3</v>
      </c>
    </row>
    <row r="424" spans="2:11" ht="15" customHeight="1">
      <c r="B424" s="98" t="s">
        <v>986</v>
      </c>
      <c r="C424" s="99" t="s">
        <v>987</v>
      </c>
      <c r="D424" s="100">
        <v>156.07900000000001</v>
      </c>
      <c r="E424" s="100">
        <v>73.34</v>
      </c>
      <c r="F424" s="101">
        <f t="shared" si="24"/>
        <v>11446.833860000001</v>
      </c>
      <c r="G424" s="102">
        <f t="shared" si="25"/>
        <v>3.282439723521892E-4</v>
      </c>
      <c r="H424" s="102" t="s">
        <v>243</v>
      </c>
      <c r="I424" s="103" t="str">
        <f t="shared" si="26"/>
        <v/>
      </c>
      <c r="J424" s="103">
        <v>0.183</v>
      </c>
      <c r="K424" s="103">
        <f t="shared" si="27"/>
        <v>6.0068646940450621E-5</v>
      </c>
    </row>
    <row r="425" spans="2:11" ht="15" customHeight="1">
      <c r="B425" s="98" t="s">
        <v>988</v>
      </c>
      <c r="C425" s="99" t="s">
        <v>989</v>
      </c>
      <c r="D425" s="100">
        <v>573.58500000000004</v>
      </c>
      <c r="E425" s="100">
        <v>136.88999999999999</v>
      </c>
      <c r="F425" s="101">
        <f t="shared" si="24"/>
        <v>78518.05064999999</v>
      </c>
      <c r="G425" s="102">
        <f t="shared" si="25"/>
        <v>2.2515463369105269E-3</v>
      </c>
      <c r="H425" s="102">
        <v>1.314924391847469E-2</v>
      </c>
      <c r="I425" s="103">
        <f t="shared" si="26"/>
        <v>2.9606131977784713E-5</v>
      </c>
      <c r="J425" s="103">
        <v>8.9600000000000013E-2</v>
      </c>
      <c r="K425" s="103">
        <f t="shared" si="27"/>
        <v>2.0173855178718325E-4</v>
      </c>
    </row>
    <row r="426" spans="2:11" ht="15" customHeight="1">
      <c r="B426" s="98" t="s">
        <v>990</v>
      </c>
      <c r="C426" s="99" t="s">
        <v>991</v>
      </c>
      <c r="D426" s="100">
        <v>556.25099999999998</v>
      </c>
      <c r="E426" s="100">
        <v>75.36</v>
      </c>
      <c r="F426" s="101">
        <f t="shared" si="24"/>
        <v>41919.075359999995</v>
      </c>
      <c r="G426" s="102" t="str">
        <f t="shared" si="25"/>
        <v/>
      </c>
      <c r="H426" s="102">
        <v>1.9108280254777069E-2</v>
      </c>
      <c r="I426" s="103" t="str">
        <f t="shared" si="26"/>
        <v/>
      </c>
      <c r="J426" s="103">
        <v>0.2147</v>
      </c>
      <c r="K426" s="103" t="str">
        <f t="shared" si="27"/>
        <v/>
      </c>
    </row>
    <row r="427" spans="2:11" ht="15" customHeight="1">
      <c r="B427" s="98" t="s">
        <v>992</v>
      </c>
      <c r="C427" s="99" t="s">
        <v>993</v>
      </c>
      <c r="D427" s="100">
        <v>1373.365</v>
      </c>
      <c r="E427" s="100">
        <v>62.65</v>
      </c>
      <c r="F427" s="101">
        <f t="shared" si="24"/>
        <v>86041.317249999993</v>
      </c>
      <c r="G427" s="102" t="str">
        <f t="shared" si="25"/>
        <v/>
      </c>
      <c r="H427" s="102" t="s">
        <v>243</v>
      </c>
      <c r="I427" s="103" t="str">
        <f t="shared" si="26"/>
        <v/>
      </c>
      <c r="J427" s="103">
        <v>0.2288</v>
      </c>
      <c r="K427" s="103" t="str">
        <f t="shared" si="27"/>
        <v/>
      </c>
    </row>
    <row r="428" spans="2:11" ht="15" customHeight="1">
      <c r="B428" s="98" t="s">
        <v>994</v>
      </c>
      <c r="C428" s="99" t="s">
        <v>995</v>
      </c>
      <c r="D428" s="100">
        <v>112.071</v>
      </c>
      <c r="E428" s="100">
        <v>89.5</v>
      </c>
      <c r="F428" s="101">
        <f t="shared" si="24"/>
        <v>10030.354499999999</v>
      </c>
      <c r="G428" s="102" t="str">
        <f t="shared" si="25"/>
        <v/>
      </c>
      <c r="H428" s="102">
        <v>1.11731843575419E-2</v>
      </c>
      <c r="I428" s="103" t="str">
        <f t="shared" si="26"/>
        <v/>
      </c>
      <c r="J428" s="103">
        <v>-3.85E-2</v>
      </c>
      <c r="K428" s="103" t="str">
        <f t="shared" si="27"/>
        <v/>
      </c>
    </row>
    <row r="429" spans="2:11" ht="15" customHeight="1">
      <c r="B429" s="98" t="s">
        <v>996</v>
      </c>
      <c r="C429" s="99" t="s">
        <v>997</v>
      </c>
      <c r="D429" s="100">
        <v>231.44300000000001</v>
      </c>
      <c r="E429" s="100">
        <v>93.74</v>
      </c>
      <c r="F429" s="101">
        <f t="shared" si="24"/>
        <v>21695.466820000001</v>
      </c>
      <c r="G429" s="102" t="str">
        <f t="shared" si="25"/>
        <v/>
      </c>
      <c r="H429" s="102" t="s">
        <v>243</v>
      </c>
      <c r="I429" s="103" t="str">
        <f t="shared" si="26"/>
        <v/>
      </c>
      <c r="J429" s="103" t="s">
        <v>243</v>
      </c>
      <c r="K429" s="103" t="str">
        <f t="shared" si="27"/>
        <v/>
      </c>
    </row>
    <row r="430" spans="2:11" ht="15" customHeight="1">
      <c r="B430" s="98" t="s">
        <v>998</v>
      </c>
      <c r="C430" s="99" t="s">
        <v>999</v>
      </c>
      <c r="D430" s="100">
        <v>51.985999999999997</v>
      </c>
      <c r="E430" s="100">
        <v>166.25</v>
      </c>
      <c r="F430" s="101">
        <f t="shared" si="24"/>
        <v>8642.6724999999988</v>
      </c>
      <c r="G430" s="102">
        <f t="shared" si="25"/>
        <v>2.4783317272144157E-4</v>
      </c>
      <c r="H430" s="102">
        <v>1.7323308270676692E-2</v>
      </c>
      <c r="I430" s="103">
        <f t="shared" si="26"/>
        <v>4.2932904507533942E-6</v>
      </c>
      <c r="J430" s="103">
        <v>6.1900000000000004E-2</v>
      </c>
      <c r="K430" s="103">
        <f t="shared" si="27"/>
        <v>1.5340873391457236E-5</v>
      </c>
    </row>
    <row r="431" spans="2:11" ht="15" customHeight="1">
      <c r="B431" s="98" t="s">
        <v>1000</v>
      </c>
      <c r="C431" s="99" t="s">
        <v>1001</v>
      </c>
      <c r="D431" s="100">
        <v>208.476</v>
      </c>
      <c r="E431" s="100">
        <v>77.86</v>
      </c>
      <c r="F431" s="101">
        <f t="shared" si="24"/>
        <v>16231.941360000001</v>
      </c>
      <c r="G431" s="102">
        <f t="shared" si="25"/>
        <v>4.6545944286066512E-4</v>
      </c>
      <c r="H431" s="102">
        <v>2.0935011559208835E-2</v>
      </c>
      <c r="I431" s="103">
        <f t="shared" si="26"/>
        <v>9.7443988166309279E-6</v>
      </c>
      <c r="J431" s="103">
        <v>0.03</v>
      </c>
      <c r="K431" s="103">
        <f t="shared" si="27"/>
        <v>1.3963783285819954E-5</v>
      </c>
    </row>
    <row r="432" spans="2:11" ht="15" customHeight="1">
      <c r="B432" s="98" t="s">
        <v>1002</v>
      </c>
      <c r="C432" s="99" t="s">
        <v>1003</v>
      </c>
      <c r="D432" s="100">
        <v>1041.7280000000001</v>
      </c>
      <c r="E432" s="100">
        <v>49.95</v>
      </c>
      <c r="F432" s="101">
        <f t="shared" si="24"/>
        <v>52034.313600000009</v>
      </c>
      <c r="G432" s="102">
        <f t="shared" si="25"/>
        <v>1.4921112688083991E-3</v>
      </c>
      <c r="H432" s="102" t="s">
        <v>243</v>
      </c>
      <c r="I432" s="103" t="str">
        <f t="shared" si="26"/>
        <v/>
      </c>
      <c r="J432" s="103">
        <v>0.12720000000000001</v>
      </c>
      <c r="K432" s="103">
        <f t="shared" si="27"/>
        <v>1.8979655339242837E-4</v>
      </c>
    </row>
    <row r="433" spans="2:11" ht="15" customHeight="1">
      <c r="B433" s="98" t="s">
        <v>1004</v>
      </c>
      <c r="C433" s="99" t="s">
        <v>1005</v>
      </c>
      <c r="D433" s="100">
        <v>915.827</v>
      </c>
      <c r="E433" s="100">
        <v>20.04</v>
      </c>
      <c r="F433" s="101">
        <f t="shared" si="24"/>
        <v>18353.17308</v>
      </c>
      <c r="G433" s="102">
        <f t="shared" si="25"/>
        <v>5.262868764172369E-4</v>
      </c>
      <c r="H433" s="102">
        <v>4.790419161676647E-2</v>
      </c>
      <c r="I433" s="103">
        <f t="shared" si="26"/>
        <v>2.5211347373280812E-5</v>
      </c>
      <c r="J433" s="103">
        <v>4.1749999999999995E-2</v>
      </c>
      <c r="K433" s="103">
        <f t="shared" si="27"/>
        <v>2.1972477090419639E-5</v>
      </c>
    </row>
    <row r="434" spans="2:11" ht="15" customHeight="1">
      <c r="B434" s="98" t="s">
        <v>1006</v>
      </c>
      <c r="C434" s="99" t="s">
        <v>1007</v>
      </c>
      <c r="D434" s="100">
        <v>997.99800000000005</v>
      </c>
      <c r="E434" s="100">
        <v>35.17</v>
      </c>
      <c r="F434" s="101">
        <f t="shared" si="24"/>
        <v>35099.589660000005</v>
      </c>
      <c r="G434" s="102" t="str">
        <f t="shared" si="25"/>
        <v/>
      </c>
      <c r="H434" s="102">
        <v>2.3883992038669317E-2</v>
      </c>
      <c r="I434" s="103" t="str">
        <f t="shared" si="26"/>
        <v/>
      </c>
      <c r="J434" s="103">
        <v>0.69464999999999999</v>
      </c>
      <c r="K434" s="103" t="str">
        <f t="shared" si="27"/>
        <v/>
      </c>
    </row>
    <row r="435" spans="2:11" ht="15" customHeight="1">
      <c r="B435" s="98" t="s">
        <v>1008</v>
      </c>
      <c r="C435" s="99" t="s">
        <v>1009</v>
      </c>
      <c r="D435" s="100">
        <v>321.39299999999997</v>
      </c>
      <c r="E435" s="100">
        <v>28.9</v>
      </c>
      <c r="F435" s="101">
        <f t="shared" si="24"/>
        <v>9288.2576999999983</v>
      </c>
      <c r="G435" s="102" t="str">
        <f t="shared" si="25"/>
        <v/>
      </c>
      <c r="H435" s="102">
        <v>2.9065743944636679E-2</v>
      </c>
      <c r="I435" s="103" t="str">
        <f t="shared" si="26"/>
        <v/>
      </c>
      <c r="J435" s="103">
        <v>-0.1832</v>
      </c>
      <c r="K435" s="103" t="str">
        <f t="shared" si="27"/>
        <v/>
      </c>
    </row>
    <row r="436" spans="2:11" ht="15" customHeight="1">
      <c r="B436" s="98" t="s">
        <v>1010</v>
      </c>
      <c r="C436" s="99" t="s">
        <v>1011</v>
      </c>
      <c r="D436" s="100">
        <v>127.224</v>
      </c>
      <c r="E436" s="100">
        <v>125.99</v>
      </c>
      <c r="F436" s="101">
        <f t="shared" si="24"/>
        <v>16028.95176</v>
      </c>
      <c r="G436" s="102" t="str">
        <f t="shared" si="25"/>
        <v/>
      </c>
      <c r="H436" s="102" t="s">
        <v>243</v>
      </c>
      <c r="I436" s="103" t="str">
        <f t="shared" si="26"/>
        <v/>
      </c>
      <c r="J436" s="103">
        <v>0.22399999999999998</v>
      </c>
      <c r="K436" s="103" t="str">
        <f t="shared" si="27"/>
        <v/>
      </c>
    </row>
    <row r="437" spans="2:11" ht="15" customHeight="1">
      <c r="B437" s="98" t="s">
        <v>1012</v>
      </c>
      <c r="C437" s="99" t="s">
        <v>1013</v>
      </c>
      <c r="D437" s="100">
        <v>182.78200000000001</v>
      </c>
      <c r="E437" s="100">
        <v>74.12</v>
      </c>
      <c r="F437" s="101">
        <f t="shared" si="24"/>
        <v>13547.801840000002</v>
      </c>
      <c r="G437" s="102" t="str">
        <f t="shared" si="25"/>
        <v/>
      </c>
      <c r="H437" s="102">
        <v>2.6983270372369129E-2</v>
      </c>
      <c r="I437" s="103" t="str">
        <f t="shared" si="26"/>
        <v/>
      </c>
      <c r="J437" s="103">
        <v>-4.6300000000000001E-2</v>
      </c>
      <c r="K437" s="103" t="str">
        <f t="shared" si="27"/>
        <v/>
      </c>
    </row>
    <row r="438" spans="2:11" ht="15" customHeight="1">
      <c r="B438" s="98" t="s">
        <v>1014</v>
      </c>
      <c r="C438" s="99" t="s">
        <v>1015</v>
      </c>
      <c r="D438" s="100">
        <v>371.19200000000001</v>
      </c>
      <c r="E438" s="100">
        <v>29.44</v>
      </c>
      <c r="F438" s="101">
        <f t="shared" si="24"/>
        <v>10927.89248</v>
      </c>
      <c r="G438" s="102">
        <f t="shared" si="25"/>
        <v>3.1336305575355107E-4</v>
      </c>
      <c r="H438" s="102">
        <v>3.3967391304347824E-2</v>
      </c>
      <c r="I438" s="103">
        <f t="shared" si="26"/>
        <v>1.0644125535107032E-5</v>
      </c>
      <c r="J438" s="103">
        <v>0.18809999999999999</v>
      </c>
      <c r="K438" s="103">
        <f t="shared" si="27"/>
        <v>5.8943590787242953E-5</v>
      </c>
    </row>
    <row r="439" spans="2:11" ht="15" customHeight="1">
      <c r="B439" s="98" t="s">
        <v>1016</v>
      </c>
      <c r="C439" s="99" t="s">
        <v>1017</v>
      </c>
      <c r="D439" s="100">
        <v>135.21199999999999</v>
      </c>
      <c r="E439" s="100">
        <v>145.88</v>
      </c>
      <c r="F439" s="101">
        <f t="shared" si="24"/>
        <v>19724.726559999999</v>
      </c>
      <c r="G439" s="102">
        <f t="shared" si="25"/>
        <v>5.6561689274095322E-4</v>
      </c>
      <c r="H439" s="102">
        <v>1.0419522895530574E-2</v>
      </c>
      <c r="I439" s="103">
        <f t="shared" si="26"/>
        <v>5.8934581640132229E-6</v>
      </c>
      <c r="J439" s="103">
        <v>0.10529999999999999</v>
      </c>
      <c r="K439" s="103">
        <f t="shared" si="27"/>
        <v>5.955945880562237E-5</v>
      </c>
    </row>
    <row r="440" spans="2:11" ht="15" customHeight="1">
      <c r="B440" s="98" t="s">
        <v>930</v>
      </c>
      <c r="C440" s="99" t="s">
        <v>1018</v>
      </c>
      <c r="D440" s="100">
        <v>5617</v>
      </c>
      <c r="E440" s="100">
        <v>183.42</v>
      </c>
      <c r="F440" s="101">
        <f t="shared" si="24"/>
        <v>1030270.1399999999</v>
      </c>
      <c r="G440" s="102">
        <f t="shared" si="25"/>
        <v>2.9543537320934444E-2</v>
      </c>
      <c r="H440" s="102">
        <v>4.3615745284047549E-3</v>
      </c>
      <c r="I440" s="103">
        <f t="shared" si="26"/>
        <v>1.2885633985796293E-4</v>
      </c>
      <c r="J440" s="103">
        <v>0.15010000000000001</v>
      </c>
      <c r="K440" s="103">
        <f t="shared" si="27"/>
        <v>4.4344849518722605E-3</v>
      </c>
    </row>
    <row r="441" spans="2:11" ht="15" customHeight="1">
      <c r="B441" s="98" t="s">
        <v>1019</v>
      </c>
      <c r="C441" s="99" t="s">
        <v>1020</v>
      </c>
      <c r="D441" s="100">
        <v>107.041</v>
      </c>
      <c r="E441" s="100">
        <v>225.46</v>
      </c>
      <c r="F441" s="101">
        <f t="shared" si="24"/>
        <v>24133.46386</v>
      </c>
      <c r="G441" s="102" t="str">
        <f t="shared" si="25"/>
        <v/>
      </c>
      <c r="H441" s="102" t="s">
        <v>243</v>
      </c>
      <c r="I441" s="103" t="str">
        <f t="shared" si="26"/>
        <v/>
      </c>
      <c r="J441" s="103">
        <v>0.42575000000000002</v>
      </c>
      <c r="K441" s="103" t="str">
        <f t="shared" si="27"/>
        <v/>
      </c>
    </row>
    <row r="442" spans="2:11" ht="15" customHeight="1">
      <c r="B442" s="98" t="s">
        <v>1023</v>
      </c>
      <c r="C442" s="99" t="s">
        <v>1024</v>
      </c>
      <c r="D442" s="100">
        <v>306.22800000000001</v>
      </c>
      <c r="E442" s="100">
        <v>150.43</v>
      </c>
      <c r="F442" s="101">
        <f t="shared" si="24"/>
        <v>46065.878040000003</v>
      </c>
      <c r="G442" s="102">
        <f t="shared" si="25"/>
        <v>1.3209632447431258E-3</v>
      </c>
      <c r="H442" s="102">
        <v>1.7283786478760884E-2</v>
      </c>
      <c r="I442" s="103">
        <f t="shared" si="26"/>
        <v>2.2831246668431343E-5</v>
      </c>
      <c r="J442" s="103">
        <v>5.0349999999999999E-2</v>
      </c>
      <c r="K442" s="103">
        <f t="shared" si="27"/>
        <v>6.6510499372816385E-5</v>
      </c>
    </row>
    <row r="443" spans="2:11" ht="15" customHeight="1">
      <c r="B443" s="98" t="s">
        <v>1025</v>
      </c>
      <c r="C443" s="99" t="s">
        <v>1026</v>
      </c>
      <c r="D443" s="100">
        <v>250.59899999999999</v>
      </c>
      <c r="E443" s="100">
        <v>130.81</v>
      </c>
      <c r="F443" s="101">
        <f t="shared" si="24"/>
        <v>32780.855190000002</v>
      </c>
      <c r="G443" s="102" t="str">
        <f t="shared" si="25"/>
        <v/>
      </c>
      <c r="H443" s="102">
        <v>2.1405091353872027E-2</v>
      </c>
      <c r="I443" s="103" t="str">
        <f t="shared" si="26"/>
        <v/>
      </c>
      <c r="J443" s="103">
        <v>0.6119</v>
      </c>
      <c r="K443" s="103" t="str">
        <f t="shared" si="27"/>
        <v/>
      </c>
    </row>
    <row r="444" spans="2:11" ht="15" customHeight="1">
      <c r="B444" s="98" t="s">
        <v>1027</v>
      </c>
      <c r="C444" s="99" t="s">
        <v>1028</v>
      </c>
      <c r="D444" s="100">
        <v>1574.152</v>
      </c>
      <c r="E444" s="100">
        <v>262.47000000000003</v>
      </c>
      <c r="F444" s="101">
        <f t="shared" si="24"/>
        <v>413167.67544000008</v>
      </c>
      <c r="G444" s="102">
        <f t="shared" si="25"/>
        <v>1.1847800072285287E-2</v>
      </c>
      <c r="H444" s="102">
        <v>7.9247152055473002E-3</v>
      </c>
      <c r="I444" s="103">
        <f t="shared" si="26"/>
        <v>9.3890441385123625E-5</v>
      </c>
      <c r="J444" s="103">
        <v>0.1305</v>
      </c>
      <c r="K444" s="103">
        <f t="shared" si="27"/>
        <v>1.5461379094332301E-3</v>
      </c>
    </row>
    <row r="445" spans="2:11" ht="15" customHeight="1">
      <c r="B445" s="98" t="s">
        <v>1029</v>
      </c>
      <c r="C445" s="99" t="s">
        <v>1030</v>
      </c>
      <c r="D445" s="100">
        <v>116.688</v>
      </c>
      <c r="E445" s="100">
        <v>142.61000000000001</v>
      </c>
      <c r="F445" s="101">
        <f t="shared" si="24"/>
        <v>16640.875680000001</v>
      </c>
      <c r="G445" s="102">
        <f t="shared" si="25"/>
        <v>4.7718584924252042E-4</v>
      </c>
      <c r="H445" s="102">
        <v>4.1231330201248154E-2</v>
      </c>
      <c r="I445" s="103">
        <f t="shared" si="26"/>
        <v>1.9675007317481379E-5</v>
      </c>
      <c r="J445" s="103">
        <v>8.3000000000000001E-3</v>
      </c>
      <c r="K445" s="103">
        <f t="shared" si="27"/>
        <v>3.9606425487129193E-6</v>
      </c>
    </row>
    <row r="446" spans="2:11" ht="15" customHeight="1">
      <c r="B446" s="98" t="s">
        <v>1031</v>
      </c>
      <c r="C446" s="99" t="s">
        <v>1032</v>
      </c>
      <c r="D446" s="100">
        <v>242.447</v>
      </c>
      <c r="E446" s="100">
        <v>135.63</v>
      </c>
      <c r="F446" s="101">
        <f t="shared" si="24"/>
        <v>32883.086609999998</v>
      </c>
      <c r="G446" s="102" t="str">
        <f t="shared" si="25"/>
        <v/>
      </c>
      <c r="H446" s="102">
        <v>1.0617120106171201E-2</v>
      </c>
      <c r="I446" s="103" t="str">
        <f t="shared" si="26"/>
        <v/>
      </c>
      <c r="J446" s="103" t="s">
        <v>243</v>
      </c>
      <c r="K446" s="103" t="str">
        <f t="shared" si="27"/>
        <v/>
      </c>
    </row>
    <row r="447" spans="2:11" ht="15" customHeight="1">
      <c r="B447" s="98" t="s">
        <v>1033</v>
      </c>
      <c r="C447" s="99" t="s">
        <v>1034</v>
      </c>
      <c r="D447" s="100">
        <v>352.33</v>
      </c>
      <c r="E447" s="100">
        <v>173.48</v>
      </c>
      <c r="F447" s="101">
        <f t="shared" si="24"/>
        <v>61122.208399999996</v>
      </c>
      <c r="G447" s="102" t="str">
        <f t="shared" si="25"/>
        <v/>
      </c>
      <c r="H447" s="102">
        <v>1.9022365690569518E-2</v>
      </c>
      <c r="I447" s="103" t="str">
        <f t="shared" si="26"/>
        <v/>
      </c>
      <c r="J447" s="103" t="s">
        <v>243</v>
      </c>
      <c r="K447" s="103" t="str">
        <f t="shared" si="27"/>
        <v/>
      </c>
    </row>
    <row r="448" spans="2:11" ht="15" customHeight="1">
      <c r="B448" s="98" t="s">
        <v>1037</v>
      </c>
      <c r="C448" s="99" t="s">
        <v>1038</v>
      </c>
      <c r="D448" s="100">
        <v>107.81</v>
      </c>
      <c r="E448" s="100">
        <v>270</v>
      </c>
      <c r="F448" s="101">
        <f t="shared" si="24"/>
        <v>29108.7</v>
      </c>
      <c r="G448" s="102">
        <f t="shared" si="25"/>
        <v>8.3470725921832938E-4</v>
      </c>
      <c r="H448" s="102">
        <v>1.6296296296296298E-2</v>
      </c>
      <c r="I448" s="103">
        <f t="shared" si="26"/>
        <v>1.3602636816891296E-5</v>
      </c>
      <c r="J448" s="103">
        <v>5.1500000000000004E-2</v>
      </c>
      <c r="K448" s="103">
        <f t="shared" si="27"/>
        <v>4.2987423849743965E-5</v>
      </c>
    </row>
    <row r="449" spans="2:11" ht="15" customHeight="1">
      <c r="B449" s="98" t="s">
        <v>1035</v>
      </c>
      <c r="C449" s="99" t="s">
        <v>1036</v>
      </c>
      <c r="D449" s="100">
        <v>1616.3140000000001</v>
      </c>
      <c r="E449" s="100">
        <v>162.21</v>
      </c>
      <c r="F449" s="101">
        <f t="shared" si="24"/>
        <v>262182.29394</v>
      </c>
      <c r="G449" s="102" t="str">
        <f t="shared" si="25"/>
        <v/>
      </c>
      <c r="H449" s="102" t="s">
        <v>243</v>
      </c>
      <c r="I449" s="103" t="str">
        <f t="shared" si="26"/>
        <v/>
      </c>
      <c r="J449" s="103">
        <v>0.31819999999999998</v>
      </c>
      <c r="K449" s="103" t="str">
        <f t="shared" si="27"/>
        <v/>
      </c>
    </row>
    <row r="450" spans="2:11" ht="15" customHeight="1">
      <c r="B450" s="98" t="s">
        <v>1039</v>
      </c>
      <c r="C450" s="99" t="s">
        <v>1040</v>
      </c>
      <c r="D450" s="100">
        <v>146.90700000000001</v>
      </c>
      <c r="E450" s="100">
        <v>191.42</v>
      </c>
      <c r="F450" s="101">
        <f t="shared" si="24"/>
        <v>28120.93794</v>
      </c>
      <c r="G450" s="102">
        <f t="shared" si="25"/>
        <v>8.0638266341492859E-4</v>
      </c>
      <c r="H450" s="102">
        <v>1.0030299864173023E-2</v>
      </c>
      <c r="I450" s="103">
        <f t="shared" si="26"/>
        <v>8.0882599193222385E-6</v>
      </c>
      <c r="J450" s="103">
        <v>0.13449999999999998</v>
      </c>
      <c r="K450" s="103">
        <f t="shared" si="27"/>
        <v>1.0845846822930788E-4</v>
      </c>
    </row>
    <row r="451" spans="2:11" ht="15" customHeight="1">
      <c r="B451" s="98" t="s">
        <v>1041</v>
      </c>
      <c r="C451" s="99" t="s">
        <v>1042</v>
      </c>
      <c r="D451" s="100">
        <v>21.356999999999999</v>
      </c>
      <c r="E451" s="100">
        <v>1397.59</v>
      </c>
      <c r="F451" s="101">
        <f t="shared" si="24"/>
        <v>29848.329629999997</v>
      </c>
      <c r="G451" s="102">
        <f t="shared" si="25"/>
        <v>8.5591652728230904E-4</v>
      </c>
      <c r="H451" s="102" t="s">
        <v>243</v>
      </c>
      <c r="I451" s="103" t="str">
        <f t="shared" si="26"/>
        <v/>
      </c>
      <c r="J451" s="103">
        <v>9.2899999999999996E-2</v>
      </c>
      <c r="K451" s="103">
        <f t="shared" si="27"/>
        <v>7.9514645384526513E-5</v>
      </c>
    </row>
    <row r="452" spans="2:11" ht="15" customHeight="1">
      <c r="B452" s="98" t="s">
        <v>1047</v>
      </c>
      <c r="C452" s="99" t="s">
        <v>1048</v>
      </c>
      <c r="D452" s="100">
        <v>1043.1369999999999</v>
      </c>
      <c r="E452" s="100">
        <v>28.64</v>
      </c>
      <c r="F452" s="101">
        <f t="shared" si="24"/>
        <v>29875.44368</v>
      </c>
      <c r="G452" s="102">
        <f t="shared" si="25"/>
        <v>8.5669403690526755E-4</v>
      </c>
      <c r="H452" s="102">
        <v>5.7960893854748598E-2</v>
      </c>
      <c r="I452" s="103">
        <f t="shared" si="26"/>
        <v>4.9654752139062291E-5</v>
      </c>
      <c r="J452" s="103">
        <v>5.4400000000000004E-2</v>
      </c>
      <c r="K452" s="103">
        <f t="shared" si="27"/>
        <v>4.6604155607646556E-5</v>
      </c>
    </row>
    <row r="453" spans="2:11" ht="15" customHeight="1">
      <c r="B453" s="98" t="s">
        <v>1045</v>
      </c>
      <c r="C453" s="99" t="s">
        <v>1046</v>
      </c>
      <c r="D453" s="100">
        <v>962.298</v>
      </c>
      <c r="E453" s="100">
        <v>54.16</v>
      </c>
      <c r="F453" s="101">
        <f t="shared" si="24"/>
        <v>52118.059679999998</v>
      </c>
      <c r="G453" s="102" t="str">
        <f t="shared" si="25"/>
        <v/>
      </c>
      <c r="H453" s="102" t="s">
        <v>243</v>
      </c>
      <c r="I453" s="103" t="str">
        <f t="shared" si="26"/>
        <v/>
      </c>
      <c r="J453" s="103" t="s">
        <v>243</v>
      </c>
      <c r="K453" s="103" t="str">
        <f t="shared" si="27"/>
        <v/>
      </c>
    </row>
    <row r="454" spans="2:11" ht="15" customHeight="1">
      <c r="B454" s="98" t="s">
        <v>1043</v>
      </c>
      <c r="C454" s="99" t="s">
        <v>1044</v>
      </c>
      <c r="D454" s="100">
        <v>125.21299999999999</v>
      </c>
      <c r="E454" s="100">
        <v>139.71</v>
      </c>
      <c r="F454" s="101">
        <f t="shared" si="24"/>
        <v>17493.508229999999</v>
      </c>
      <c r="G454" s="102">
        <f t="shared" si="25"/>
        <v>5.0163553538208811E-4</v>
      </c>
      <c r="H454" s="102">
        <v>8.3029131772958259E-3</v>
      </c>
      <c r="I454" s="103">
        <f t="shared" si="26"/>
        <v>4.1650362969237863E-6</v>
      </c>
      <c r="J454" s="103">
        <v>0.1076</v>
      </c>
      <c r="K454" s="103">
        <f t="shared" si="27"/>
        <v>5.3975983607112681E-5</v>
      </c>
    </row>
    <row r="455" spans="2:11" ht="15" customHeight="1">
      <c r="B455" s="98" t="s">
        <v>1051</v>
      </c>
      <c r="C455" s="99" t="s">
        <v>1052</v>
      </c>
      <c r="D455" s="100">
        <v>117.527</v>
      </c>
      <c r="E455" s="100">
        <v>95.52</v>
      </c>
      <c r="F455" s="101">
        <f t="shared" si="24"/>
        <v>11226.179039999999</v>
      </c>
      <c r="G455" s="102" t="str">
        <f t="shared" si="25"/>
        <v/>
      </c>
      <c r="H455" s="102">
        <v>1.6750418760469014E-2</v>
      </c>
      <c r="I455" s="103" t="str">
        <f t="shared" si="26"/>
        <v/>
      </c>
      <c r="J455" s="103">
        <v>-0.1268</v>
      </c>
      <c r="K455" s="103" t="str">
        <f t="shared" si="27"/>
        <v/>
      </c>
    </row>
    <row r="456" spans="2:11" ht="15" customHeight="1">
      <c r="B456" s="98" t="s">
        <v>1049</v>
      </c>
      <c r="C456" s="99" t="s">
        <v>1050</v>
      </c>
      <c r="D456" s="100">
        <v>763.93799999999999</v>
      </c>
      <c r="E456" s="100">
        <v>60.27</v>
      </c>
      <c r="F456" s="101">
        <f t="shared" si="24"/>
        <v>46042.543259999999</v>
      </c>
      <c r="G456" s="102">
        <f t="shared" si="25"/>
        <v>1.320294107672138E-3</v>
      </c>
      <c r="H456" s="102" t="s">
        <v>243</v>
      </c>
      <c r="I456" s="103" t="str">
        <f t="shared" si="26"/>
        <v/>
      </c>
      <c r="J456" s="103">
        <v>9.5899999999999999E-2</v>
      </c>
      <c r="K456" s="103">
        <f t="shared" si="27"/>
        <v>1.2661620492575803E-4</v>
      </c>
    </row>
    <row r="457" spans="2:11" ht="15" customHeight="1">
      <c r="B457" s="98" t="s">
        <v>1053</v>
      </c>
      <c r="C457" s="99" t="s">
        <v>1054</v>
      </c>
      <c r="D457" s="100">
        <v>383.24</v>
      </c>
      <c r="E457" s="100">
        <v>118.75</v>
      </c>
      <c r="F457" s="101">
        <f t="shared" si="24"/>
        <v>45509.75</v>
      </c>
      <c r="G457" s="102">
        <f t="shared" si="25"/>
        <v>1.3050159811400497E-3</v>
      </c>
      <c r="H457" s="102" t="s">
        <v>243</v>
      </c>
      <c r="I457" s="103" t="str">
        <f t="shared" si="26"/>
        <v/>
      </c>
      <c r="J457" s="103">
        <v>0.17710000000000001</v>
      </c>
      <c r="K457" s="103">
        <f t="shared" si="27"/>
        <v>2.311183302599028E-4</v>
      </c>
    </row>
    <row r="458" spans="2:11" ht="15" customHeight="1">
      <c r="B458" s="98" t="s">
        <v>1055</v>
      </c>
      <c r="C458" s="99" t="s">
        <v>1056</v>
      </c>
      <c r="D458" s="100">
        <v>64.206000000000003</v>
      </c>
      <c r="E458" s="100">
        <v>272.2</v>
      </c>
      <c r="F458" s="101">
        <f t="shared" si="24"/>
        <v>17476.873200000002</v>
      </c>
      <c r="G458" s="102">
        <f t="shared" si="25"/>
        <v>5.0115851716078959E-4</v>
      </c>
      <c r="H458" s="102">
        <v>3.6002939015429836E-2</v>
      </c>
      <c r="I458" s="103">
        <f t="shared" si="26"/>
        <v>1.8043179530403154E-5</v>
      </c>
      <c r="J458" s="103">
        <v>4.6399999999999997E-2</v>
      </c>
      <c r="K458" s="103">
        <f t="shared" si="27"/>
        <v>2.3253755196260635E-5</v>
      </c>
    </row>
    <row r="459" spans="2:11" ht="15" customHeight="1">
      <c r="B459" s="98" t="s">
        <v>1057</v>
      </c>
      <c r="C459" s="99" t="s">
        <v>1058</v>
      </c>
      <c r="D459" s="100">
        <v>408.34199999999998</v>
      </c>
      <c r="E459" s="100">
        <v>74.14</v>
      </c>
      <c r="F459" s="101">
        <f t="shared" si="24"/>
        <v>30274.475879999998</v>
      </c>
      <c r="G459" s="102">
        <f t="shared" si="25"/>
        <v>8.6813649479592768E-4</v>
      </c>
      <c r="H459" s="102" t="s">
        <v>243</v>
      </c>
      <c r="I459" s="103" t="str">
        <f t="shared" si="26"/>
        <v/>
      </c>
      <c r="J459" s="103">
        <v>0.15090000000000001</v>
      </c>
      <c r="K459" s="103">
        <f t="shared" si="27"/>
        <v>1.310017970647055E-4</v>
      </c>
    </row>
    <row r="460" spans="2:11" ht="15" customHeight="1">
      <c r="B460" s="98" t="s">
        <v>1059</v>
      </c>
      <c r="C460" s="99" t="s">
        <v>1060</v>
      </c>
      <c r="D460" s="100">
        <v>870.774</v>
      </c>
      <c r="E460" s="100">
        <v>52.557000000000002</v>
      </c>
      <c r="F460" s="101">
        <f t="shared" si="24"/>
        <v>45765.269118000004</v>
      </c>
      <c r="G460" s="102">
        <f t="shared" si="25"/>
        <v>1.3123431260370622E-3</v>
      </c>
      <c r="H460" s="102">
        <v>6.0049089559906385E-2</v>
      </c>
      <c r="I460" s="103">
        <f t="shared" si="26"/>
        <v>7.8805009908727066E-5</v>
      </c>
      <c r="J460" s="103">
        <v>2.4700000000000003E-2</v>
      </c>
      <c r="K460" s="103">
        <f t="shared" si="27"/>
        <v>3.241487521311544E-5</v>
      </c>
    </row>
    <row r="461" spans="2:11" ht="15" customHeight="1">
      <c r="B461" s="98" t="s">
        <v>1061</v>
      </c>
      <c r="C461" s="99" t="s">
        <v>1062</v>
      </c>
      <c r="D461" s="100">
        <v>258.14800000000002</v>
      </c>
      <c r="E461" s="100">
        <v>50.26</v>
      </c>
      <c r="F461" s="101">
        <f t="shared" si="24"/>
        <v>12974.518480000001</v>
      </c>
      <c r="G461" s="102">
        <f t="shared" si="25"/>
        <v>3.7205113110919986E-4</v>
      </c>
      <c r="H461" s="102">
        <v>2.4074810982888977E-2</v>
      </c>
      <c r="I461" s="103">
        <f t="shared" si="26"/>
        <v>8.9570606574240324E-6</v>
      </c>
      <c r="J461" s="103">
        <v>0.1118</v>
      </c>
      <c r="K461" s="103">
        <f t="shared" si="27"/>
        <v>4.1595316458008545E-5</v>
      </c>
    </row>
    <row r="462" spans="2:11" ht="15" customHeight="1">
      <c r="B462" s="98" t="s">
        <v>1063</v>
      </c>
      <c r="C462" s="99" t="s">
        <v>1064</v>
      </c>
      <c r="D462" s="100">
        <v>176.38499999999999</v>
      </c>
      <c r="E462" s="100">
        <v>158.05000000000001</v>
      </c>
      <c r="F462" s="101">
        <f t="shared" si="24"/>
        <v>27877.649250000002</v>
      </c>
      <c r="G462" s="102">
        <f t="shared" si="25"/>
        <v>7.9940623246374509E-4</v>
      </c>
      <c r="H462" s="102">
        <v>5.0616893388168299E-3</v>
      </c>
      <c r="I462" s="103">
        <f t="shared" si="26"/>
        <v>4.0463460042454669E-6</v>
      </c>
      <c r="J462" s="103">
        <v>0.15490000000000001</v>
      </c>
      <c r="K462" s="103">
        <f t="shared" si="27"/>
        <v>1.2382802540863413E-4</v>
      </c>
    </row>
    <row r="463" spans="2:11" ht="15" customHeight="1">
      <c r="B463" s="98" t="s">
        <v>1065</v>
      </c>
      <c r="C463" s="99" t="s">
        <v>1066</v>
      </c>
      <c r="D463" s="100">
        <v>38.329000000000001</v>
      </c>
      <c r="E463" s="100">
        <v>307.33</v>
      </c>
      <c r="F463" s="101">
        <f t="shared" si="24"/>
        <v>11779.65157</v>
      </c>
      <c r="G463" s="102" t="str">
        <f t="shared" si="25"/>
        <v/>
      </c>
      <c r="H463" s="102">
        <v>1.5618390654996258E-2</v>
      </c>
      <c r="I463" s="103" t="str">
        <f t="shared" si="26"/>
        <v/>
      </c>
      <c r="J463" s="103" t="s">
        <v>243</v>
      </c>
      <c r="K463" s="103" t="str">
        <f t="shared" si="27"/>
        <v/>
      </c>
    </row>
    <row r="464" spans="2:11" ht="15" customHeight="1">
      <c r="B464" s="98" t="s">
        <v>1067</v>
      </c>
      <c r="C464" s="99" t="s">
        <v>1068</v>
      </c>
      <c r="D464" s="100">
        <v>326.52499999999998</v>
      </c>
      <c r="E464" s="100">
        <v>75.77</v>
      </c>
      <c r="F464" s="101">
        <f t="shared" ref="F464:F517" si="28">D464*E464</f>
        <v>24740.799249999996</v>
      </c>
      <c r="G464" s="102" t="str">
        <f t="shared" ref="G464:G517" si="29">IF(AND(ISNUMBER($J464)), IF(AND($J464&lt;=20%,$J464&gt;0%), $F464/SUMIFS($F$15:$F$517,$J$15:$J$517, "&gt;"&amp;0%,$J$15:$J$517, "&lt;="&amp;20%),""),"")</f>
        <v/>
      </c>
      <c r="H464" s="102" t="s">
        <v>243</v>
      </c>
      <c r="I464" s="103" t="str">
        <f t="shared" ref="I464:I517" si="30">IFERROR(G464*H464,"")</f>
        <v/>
      </c>
      <c r="J464" s="103">
        <v>-0.1</v>
      </c>
      <c r="K464" s="103" t="str">
        <f t="shared" ref="K464:K517" si="31">IFERROR(G464*J464,"")</f>
        <v/>
      </c>
    </row>
    <row r="465" spans="2:11" ht="15" customHeight="1">
      <c r="B465" s="98" t="s">
        <v>1069</v>
      </c>
      <c r="C465" s="99" t="s">
        <v>1070</v>
      </c>
      <c r="D465" s="100">
        <v>1374.7860000000001</v>
      </c>
      <c r="E465" s="100">
        <v>164.93</v>
      </c>
      <c r="F465" s="101">
        <f t="shared" si="28"/>
        <v>226743.45498000001</v>
      </c>
      <c r="G465" s="102">
        <f t="shared" si="29"/>
        <v>6.5019876480931979E-3</v>
      </c>
      <c r="H465" s="102">
        <v>3.2862426483962891E-2</v>
      </c>
      <c r="I465" s="103">
        <f t="shared" si="30"/>
        <v>2.1367109108509749E-4</v>
      </c>
      <c r="J465" s="103">
        <v>7.9100000000000004E-2</v>
      </c>
      <c r="K465" s="103">
        <f t="shared" si="31"/>
        <v>5.1430722296417195E-4</v>
      </c>
    </row>
    <row r="466" spans="2:11" ht="15" customHeight="1">
      <c r="B466" s="98" t="s">
        <v>1071</v>
      </c>
      <c r="C466" s="99" t="s">
        <v>1072</v>
      </c>
      <c r="D466" s="100">
        <v>178.34399999999999</v>
      </c>
      <c r="E466" s="100">
        <v>200.19</v>
      </c>
      <c r="F466" s="101">
        <f t="shared" si="28"/>
        <v>35702.685359999996</v>
      </c>
      <c r="G466" s="102">
        <f t="shared" si="29"/>
        <v>1.0237932523121942E-3</v>
      </c>
      <c r="H466" s="102">
        <v>3.9362605524751487E-2</v>
      </c>
      <c r="I466" s="103">
        <f t="shared" si="30"/>
        <v>4.029916992966727E-5</v>
      </c>
      <c r="J466" s="103">
        <v>9.6699999999999994E-2</v>
      </c>
      <c r="K466" s="103">
        <f t="shared" si="31"/>
        <v>9.9000807498589175E-5</v>
      </c>
    </row>
    <row r="467" spans="2:11" ht="15" customHeight="1">
      <c r="B467" s="98" t="s">
        <v>1228</v>
      </c>
      <c r="C467" s="99" t="s">
        <v>1229</v>
      </c>
      <c r="D467" s="100">
        <v>323.8</v>
      </c>
      <c r="E467" s="100">
        <v>339.01</v>
      </c>
      <c r="F467" s="101">
        <f t="shared" si="28"/>
        <v>109771.43799999999</v>
      </c>
      <c r="G467" s="102">
        <f t="shared" si="29"/>
        <v>3.1477536321936317E-3</v>
      </c>
      <c r="H467" s="102" t="s">
        <v>243</v>
      </c>
      <c r="I467" s="103" t="str">
        <f t="shared" si="30"/>
        <v/>
      </c>
      <c r="J467" s="103">
        <v>0.14324999999999999</v>
      </c>
      <c r="K467" s="103">
        <f t="shared" si="31"/>
        <v>4.5091570781173769E-4</v>
      </c>
    </row>
    <row r="468" spans="2:11" ht="15" customHeight="1">
      <c r="B468" s="98" t="s">
        <v>1073</v>
      </c>
      <c r="C468" s="99" t="s">
        <v>1074</v>
      </c>
      <c r="D468" s="100">
        <v>205</v>
      </c>
      <c r="E468" s="100">
        <v>786.67</v>
      </c>
      <c r="F468" s="101">
        <f t="shared" si="28"/>
        <v>161267.35</v>
      </c>
      <c r="G468" s="102" t="str">
        <f t="shared" si="29"/>
        <v/>
      </c>
      <c r="H468" s="102" t="s">
        <v>243</v>
      </c>
      <c r="I468" s="103" t="str">
        <f t="shared" si="30"/>
        <v/>
      </c>
      <c r="J468" s="103">
        <v>0.25</v>
      </c>
      <c r="K468" s="103" t="str">
        <f t="shared" si="31"/>
        <v/>
      </c>
    </row>
    <row r="469" spans="2:11" ht="15" customHeight="1">
      <c r="B469" s="98" t="s">
        <v>1075</v>
      </c>
      <c r="C469" s="99" t="s">
        <v>1076</v>
      </c>
      <c r="D469" s="100">
        <v>244.523</v>
      </c>
      <c r="E469" s="100">
        <v>103.68</v>
      </c>
      <c r="F469" s="101">
        <f t="shared" si="28"/>
        <v>25352.144640000002</v>
      </c>
      <c r="G469" s="102">
        <f t="shared" si="29"/>
        <v>7.2698606147856355E-4</v>
      </c>
      <c r="H469" s="102">
        <v>1.0947145061728395E-2</v>
      </c>
      <c r="I469" s="103">
        <f t="shared" si="30"/>
        <v>7.9584218728604326E-6</v>
      </c>
      <c r="J469" s="103">
        <v>8.0199999999999994E-2</v>
      </c>
      <c r="K469" s="103">
        <f t="shared" si="31"/>
        <v>5.8304282130580796E-5</v>
      </c>
    </row>
    <row r="470" spans="2:11" ht="15" customHeight="1">
      <c r="B470" s="98" t="s">
        <v>1077</v>
      </c>
      <c r="C470" s="99" t="s">
        <v>1078</v>
      </c>
      <c r="D470" s="100">
        <v>82.775000000000006</v>
      </c>
      <c r="E470" s="100">
        <v>100.97</v>
      </c>
      <c r="F470" s="101">
        <f t="shared" si="28"/>
        <v>8357.7917500000003</v>
      </c>
      <c r="G470" s="102">
        <f t="shared" si="29"/>
        <v>2.3966406760728116E-4</v>
      </c>
      <c r="H470" s="102">
        <v>4.3181142913736759E-2</v>
      </c>
      <c r="I470" s="103">
        <f t="shared" si="30"/>
        <v>1.0348968354637477E-5</v>
      </c>
      <c r="J470" s="103">
        <v>4.1100000000000005E-2</v>
      </c>
      <c r="K470" s="103">
        <f t="shared" si="31"/>
        <v>9.8501931786592574E-6</v>
      </c>
    </row>
    <row r="471" spans="2:11" ht="15" customHeight="1">
      <c r="B471" s="98" t="s">
        <v>1079</v>
      </c>
      <c r="C471" s="99" t="s">
        <v>1080</v>
      </c>
      <c r="D471" s="100">
        <v>313.68</v>
      </c>
      <c r="E471" s="100">
        <v>44.44</v>
      </c>
      <c r="F471" s="101">
        <f t="shared" si="28"/>
        <v>13939.939199999999</v>
      </c>
      <c r="G471" s="102">
        <f t="shared" si="29"/>
        <v>3.9973507725532743E-4</v>
      </c>
      <c r="H471" s="102" t="s">
        <v>243</v>
      </c>
      <c r="I471" s="103" t="str">
        <f t="shared" si="30"/>
        <v/>
      </c>
      <c r="J471" s="103">
        <v>0.15859999999999999</v>
      </c>
      <c r="K471" s="103">
        <f t="shared" si="31"/>
        <v>6.3397983252694924E-5</v>
      </c>
    </row>
    <row r="472" spans="2:11" ht="15" customHeight="1">
      <c r="B472" s="98" t="s">
        <v>1081</v>
      </c>
      <c r="C472" s="99" t="s">
        <v>18</v>
      </c>
      <c r="D472" s="100">
        <v>526.59</v>
      </c>
      <c r="E472" s="100">
        <v>87.74</v>
      </c>
      <c r="F472" s="101">
        <f t="shared" si="28"/>
        <v>46203.006600000001</v>
      </c>
      <c r="G472" s="102">
        <f t="shared" si="29"/>
        <v>1.3248954782155294E-3</v>
      </c>
      <c r="H472" s="102">
        <v>4.0118532026441764E-2</v>
      </c>
      <c r="I472" s="103">
        <f t="shared" si="30"/>
        <v>5.3152861674477595E-5</v>
      </c>
      <c r="J472" s="103">
        <v>0.06</v>
      </c>
      <c r="K472" s="103">
        <f t="shared" si="31"/>
        <v>7.9493728692931766E-5</v>
      </c>
    </row>
    <row r="473" spans="2:11" ht="15" customHeight="1">
      <c r="B473" s="98" t="s">
        <v>1082</v>
      </c>
      <c r="C473" s="99" t="s">
        <v>1083</v>
      </c>
      <c r="D473" s="100">
        <v>612.53599999999994</v>
      </c>
      <c r="E473" s="100">
        <v>35.89</v>
      </c>
      <c r="F473" s="101">
        <f t="shared" si="28"/>
        <v>21983.917039999997</v>
      </c>
      <c r="G473" s="102">
        <f t="shared" si="29"/>
        <v>6.3040036619091628E-4</v>
      </c>
      <c r="H473" s="102">
        <v>3.1206464196154922E-2</v>
      </c>
      <c r="I473" s="103">
        <f t="shared" si="30"/>
        <v>1.9672566456779782E-5</v>
      </c>
      <c r="J473" s="103">
        <v>5.8600000000000006E-2</v>
      </c>
      <c r="K473" s="103">
        <f t="shared" si="31"/>
        <v>3.6941461458787697E-5</v>
      </c>
    </row>
    <row r="474" spans="2:11" ht="15" customHeight="1">
      <c r="B474" s="98" t="s">
        <v>1084</v>
      </c>
      <c r="C474" s="99" t="s">
        <v>1085</v>
      </c>
      <c r="D474" s="100">
        <v>119.744</v>
      </c>
      <c r="E474" s="100">
        <v>181.67</v>
      </c>
      <c r="F474" s="101">
        <f t="shared" si="28"/>
        <v>21753.892479999999</v>
      </c>
      <c r="G474" s="102">
        <f t="shared" si="29"/>
        <v>6.2380429113327032E-4</v>
      </c>
      <c r="H474" s="102" t="s">
        <v>243</v>
      </c>
      <c r="I474" s="103" t="str">
        <f t="shared" si="30"/>
        <v/>
      </c>
      <c r="J474" s="103">
        <v>0.14940000000000001</v>
      </c>
      <c r="K474" s="103">
        <f t="shared" si="31"/>
        <v>9.3196361095310588E-5</v>
      </c>
    </row>
    <row r="475" spans="2:11" ht="15" customHeight="1">
      <c r="B475" s="98" t="s">
        <v>1086</v>
      </c>
      <c r="C475" s="99" t="s">
        <v>1087</v>
      </c>
      <c r="D475" s="100">
        <v>103.197</v>
      </c>
      <c r="E475" s="100">
        <v>160</v>
      </c>
      <c r="F475" s="101">
        <f t="shared" si="28"/>
        <v>16511.52</v>
      </c>
      <c r="G475" s="102">
        <f t="shared" si="29"/>
        <v>4.7347650718612065E-4</v>
      </c>
      <c r="H475" s="102">
        <v>1.0749999999999999E-2</v>
      </c>
      <c r="I475" s="103">
        <f t="shared" si="30"/>
        <v>5.0898724522507969E-6</v>
      </c>
      <c r="J475" s="103">
        <v>0.11789999999999999</v>
      </c>
      <c r="K475" s="103">
        <f t="shared" si="31"/>
        <v>5.5822880197243618E-5</v>
      </c>
    </row>
    <row r="476" spans="2:11" ht="15" customHeight="1">
      <c r="B476" s="98" t="s">
        <v>1088</v>
      </c>
      <c r="C476" s="99" t="s">
        <v>1089</v>
      </c>
      <c r="D476" s="100">
        <v>130.73599999999999</v>
      </c>
      <c r="E476" s="100">
        <v>1064.8499999999999</v>
      </c>
      <c r="F476" s="101">
        <f t="shared" si="28"/>
        <v>139214.22959999999</v>
      </c>
      <c r="G476" s="102">
        <f t="shared" si="29"/>
        <v>3.9920411434934307E-3</v>
      </c>
      <c r="H476" s="102">
        <v>7.5127952293750303E-3</v>
      </c>
      <c r="I476" s="103">
        <f t="shared" si="30"/>
        <v>2.9991387658306288E-5</v>
      </c>
      <c r="J476" s="103">
        <v>8.6099999999999996E-2</v>
      </c>
      <c r="K476" s="103">
        <f t="shared" si="31"/>
        <v>3.4371474245478435E-4</v>
      </c>
    </row>
    <row r="477" spans="2:11" ht="15" customHeight="1">
      <c r="B477" s="98" t="s">
        <v>1090</v>
      </c>
      <c r="C477" s="99" t="s">
        <v>1091</v>
      </c>
      <c r="D477" s="100">
        <v>63.863</v>
      </c>
      <c r="E477" s="100">
        <v>113.59</v>
      </c>
      <c r="F477" s="101">
        <f t="shared" si="28"/>
        <v>7254.1981700000006</v>
      </c>
      <c r="G477" s="102">
        <f t="shared" si="29"/>
        <v>2.080179421378255E-4</v>
      </c>
      <c r="H477" s="102" t="s">
        <v>243</v>
      </c>
      <c r="I477" s="103" t="str">
        <f t="shared" si="30"/>
        <v/>
      </c>
      <c r="J477" s="103">
        <v>2.7349999999999999E-2</v>
      </c>
      <c r="K477" s="103">
        <f t="shared" si="31"/>
        <v>5.6892907174695273E-6</v>
      </c>
    </row>
    <row r="478" spans="2:11" ht="15" customHeight="1">
      <c r="B478" s="98" t="s">
        <v>1174</v>
      </c>
      <c r="C478" s="99" t="s">
        <v>1173</v>
      </c>
      <c r="D478" s="100">
        <v>456.46499999999997</v>
      </c>
      <c r="E478" s="100">
        <v>77.92</v>
      </c>
      <c r="F478" s="101">
        <f t="shared" si="28"/>
        <v>35567.752800000002</v>
      </c>
      <c r="G478" s="102">
        <f t="shared" si="29"/>
        <v>1.0199239902930416E-3</v>
      </c>
      <c r="H478" s="102">
        <v>1.5400410677618068E-3</v>
      </c>
      <c r="I478" s="103">
        <f t="shared" si="30"/>
        <v>1.5707248310467785E-6</v>
      </c>
      <c r="J478" s="103">
        <v>0.11259999999999999</v>
      </c>
      <c r="K478" s="103">
        <f t="shared" si="31"/>
        <v>1.1484344130699648E-4</v>
      </c>
    </row>
    <row r="479" spans="2:11" ht="15" customHeight="1">
      <c r="B479" s="98" t="s">
        <v>1092</v>
      </c>
      <c r="C479" s="99" t="s">
        <v>1093</v>
      </c>
      <c r="D479" s="100">
        <v>166.02500000000001</v>
      </c>
      <c r="E479" s="100">
        <v>76.67</v>
      </c>
      <c r="F479" s="101">
        <f t="shared" si="28"/>
        <v>12729.136750000001</v>
      </c>
      <c r="G479" s="102">
        <f t="shared" si="29"/>
        <v>3.6501468113683588E-4</v>
      </c>
      <c r="H479" s="102">
        <v>1.1999478283552889E-2</v>
      </c>
      <c r="I479" s="103">
        <f t="shared" si="30"/>
        <v>4.3799857394794448E-6</v>
      </c>
      <c r="J479" s="103">
        <v>0.1313</v>
      </c>
      <c r="K479" s="103">
        <f t="shared" si="31"/>
        <v>4.7926427633266554E-5</v>
      </c>
    </row>
    <row r="480" spans="2:11" ht="15" customHeight="1">
      <c r="B480" s="98" t="s">
        <v>1094</v>
      </c>
      <c r="C480" s="99" t="s">
        <v>1095</v>
      </c>
      <c r="D480" s="100">
        <v>258.053</v>
      </c>
      <c r="E480" s="100">
        <v>468.72</v>
      </c>
      <c r="F480" s="101">
        <f t="shared" si="28"/>
        <v>120954.60216000001</v>
      </c>
      <c r="G480" s="102">
        <f t="shared" si="29"/>
        <v>3.468436737429601E-3</v>
      </c>
      <c r="H480" s="102" t="s">
        <v>243</v>
      </c>
      <c r="I480" s="103" t="str">
        <f t="shared" si="30"/>
        <v/>
      </c>
      <c r="J480" s="103">
        <v>0.12784999999999999</v>
      </c>
      <c r="K480" s="103">
        <f t="shared" si="31"/>
        <v>4.4343963688037446E-4</v>
      </c>
    </row>
    <row r="481" spans="2:11" ht="15" customHeight="1">
      <c r="B481" s="98" t="s">
        <v>1096</v>
      </c>
      <c r="C481" s="99" t="s">
        <v>1097</v>
      </c>
      <c r="D481" s="100">
        <v>1445.3430000000001</v>
      </c>
      <c r="E481" s="100">
        <v>9.7799999999999994</v>
      </c>
      <c r="F481" s="101">
        <f t="shared" si="28"/>
        <v>14135.454540000001</v>
      </c>
      <c r="G481" s="102">
        <f t="shared" si="29"/>
        <v>4.0534158230661935E-4</v>
      </c>
      <c r="H481" s="102">
        <v>5.112474437627812E-2</v>
      </c>
      <c r="I481" s="103">
        <f t="shared" si="30"/>
        <v>2.0722984780502013E-5</v>
      </c>
      <c r="J481" s="103">
        <v>2.315E-2</v>
      </c>
      <c r="K481" s="103">
        <f t="shared" si="31"/>
        <v>9.3836576303982388E-6</v>
      </c>
    </row>
    <row r="482" spans="2:11" ht="15" customHeight="1">
      <c r="B482" s="98" t="s">
        <v>1098</v>
      </c>
      <c r="C482" s="99" t="s">
        <v>1099</v>
      </c>
      <c r="D482" s="100">
        <v>2191.4459999999999</v>
      </c>
      <c r="E482" s="100">
        <v>504.22</v>
      </c>
      <c r="F482" s="101">
        <f t="shared" si="28"/>
        <v>1104970.90212</v>
      </c>
      <c r="G482" s="102">
        <f t="shared" si="29"/>
        <v>3.1685620904560841E-2</v>
      </c>
      <c r="H482" s="102">
        <v>3.9665225496806943E-3</v>
      </c>
      <c r="I482" s="103">
        <f t="shared" si="30"/>
        <v>1.2568172981857457E-4</v>
      </c>
      <c r="J482" s="103">
        <v>0.18575</v>
      </c>
      <c r="K482" s="103">
        <f t="shared" si="31"/>
        <v>5.8856040830221759E-3</v>
      </c>
    </row>
    <row r="483" spans="2:11" ht="15" customHeight="1">
      <c r="B483" s="98" t="s">
        <v>1100</v>
      </c>
      <c r="C483" s="99" t="s">
        <v>1101</v>
      </c>
      <c r="D483" s="100">
        <v>1171.854</v>
      </c>
      <c r="E483" s="100">
        <v>176.18</v>
      </c>
      <c r="F483" s="101">
        <f t="shared" si="28"/>
        <v>206457.23772</v>
      </c>
      <c r="G483" s="102">
        <f t="shared" si="29"/>
        <v>5.9202697146574145E-3</v>
      </c>
      <c r="H483" s="102">
        <v>1.4757634237711431E-2</v>
      </c>
      <c r="I483" s="103">
        <f t="shared" si="30"/>
        <v>8.7369175037514346E-5</v>
      </c>
      <c r="J483" s="103">
        <v>0.05</v>
      </c>
      <c r="K483" s="103">
        <f t="shared" si="31"/>
        <v>2.9601348573287073E-4</v>
      </c>
    </row>
    <row r="484" spans="2:11" ht="15" customHeight="1">
      <c r="B484" s="98" t="s">
        <v>1102</v>
      </c>
      <c r="C484" s="99" t="s">
        <v>1103</v>
      </c>
      <c r="D484" s="100">
        <v>66.59</v>
      </c>
      <c r="E484" s="100">
        <v>646.73</v>
      </c>
      <c r="F484" s="101">
        <f t="shared" si="28"/>
        <v>43065.750700000004</v>
      </c>
      <c r="G484" s="102">
        <f t="shared" si="29"/>
        <v>1.2349330177224285E-3</v>
      </c>
      <c r="H484" s="102">
        <v>1.0081486864688509E-2</v>
      </c>
      <c r="I484" s="103">
        <f t="shared" si="30"/>
        <v>1.2449960996938804E-5</v>
      </c>
      <c r="J484" s="103">
        <v>5.2699999999999997E-2</v>
      </c>
      <c r="K484" s="103">
        <f t="shared" si="31"/>
        <v>6.5080970033971978E-5</v>
      </c>
    </row>
    <row r="485" spans="2:11" ht="15" customHeight="1">
      <c r="B485" s="98" t="s">
        <v>1104</v>
      </c>
      <c r="C485" s="99" t="s">
        <v>1105</v>
      </c>
      <c r="D485" s="100">
        <v>174.88300000000001</v>
      </c>
      <c r="E485" s="100">
        <v>116.97</v>
      </c>
      <c r="F485" s="101">
        <f t="shared" si="28"/>
        <v>20456.06451</v>
      </c>
      <c r="G485" s="102">
        <f t="shared" si="29"/>
        <v>5.8658839252647625E-4</v>
      </c>
      <c r="H485" s="102">
        <v>4.4455843378644097E-2</v>
      </c>
      <c r="I485" s="103">
        <f t="shared" si="30"/>
        <v>2.6077281705887632E-5</v>
      </c>
      <c r="J485" s="103">
        <v>4.2099999999999999E-2</v>
      </c>
      <c r="K485" s="103">
        <f t="shared" si="31"/>
        <v>2.4695371325364649E-5</v>
      </c>
    </row>
    <row r="486" spans="2:11" ht="15" customHeight="1">
      <c r="B486" s="98" t="s">
        <v>1106</v>
      </c>
      <c r="C486" s="99" t="s">
        <v>1107</v>
      </c>
      <c r="D486" s="100">
        <v>651.18600000000004</v>
      </c>
      <c r="E486" s="100">
        <v>213.54</v>
      </c>
      <c r="F486" s="101">
        <f t="shared" si="28"/>
        <v>139054.25844000001</v>
      </c>
      <c r="G486" s="102">
        <f t="shared" si="29"/>
        <v>3.9874538864700122E-3</v>
      </c>
      <c r="H486" s="102">
        <v>2.0230401798257941E-2</v>
      </c>
      <c r="I486" s="103">
        <f t="shared" si="30"/>
        <v>8.0667794275313549E-5</v>
      </c>
      <c r="J486" s="103">
        <v>8.9749999999999996E-2</v>
      </c>
      <c r="K486" s="103">
        <f t="shared" si="31"/>
        <v>3.5787398631068355E-4</v>
      </c>
    </row>
    <row r="487" spans="2:11" ht="15" customHeight="1">
      <c r="B487" s="98" t="s">
        <v>1108</v>
      </c>
      <c r="C487" s="99" t="s">
        <v>1109</v>
      </c>
      <c r="D487" s="100">
        <v>645.31200000000001</v>
      </c>
      <c r="E487" s="100">
        <v>47.44</v>
      </c>
      <c r="F487" s="101">
        <f t="shared" si="28"/>
        <v>30613.601279999999</v>
      </c>
      <c r="G487" s="102">
        <f t="shared" si="29"/>
        <v>8.7786109373594627E-4</v>
      </c>
      <c r="H487" s="102">
        <v>1.2647554806070826E-2</v>
      </c>
      <c r="I487" s="103">
        <f t="shared" si="30"/>
        <v>1.1102796295142659E-5</v>
      </c>
      <c r="J487" s="103">
        <v>0.12</v>
      </c>
      <c r="K487" s="103">
        <f t="shared" si="31"/>
        <v>1.0534333124831355E-4</v>
      </c>
    </row>
    <row r="488" spans="2:11" ht="15" customHeight="1">
      <c r="B488" s="98" t="s">
        <v>1110</v>
      </c>
      <c r="C488" s="99" t="s">
        <v>1111</v>
      </c>
      <c r="D488" s="100">
        <v>328.803</v>
      </c>
      <c r="E488" s="100">
        <v>48.66</v>
      </c>
      <c r="F488" s="101">
        <f t="shared" si="28"/>
        <v>15999.553979999999</v>
      </c>
      <c r="G488" s="102">
        <f t="shared" si="29"/>
        <v>4.5879561269866097E-4</v>
      </c>
      <c r="H488" s="102" t="s">
        <v>243</v>
      </c>
      <c r="I488" s="103" t="str">
        <f t="shared" si="30"/>
        <v/>
      </c>
      <c r="J488" s="103">
        <v>0.12789999999999999</v>
      </c>
      <c r="K488" s="103">
        <f t="shared" si="31"/>
        <v>5.8679958864158733E-5</v>
      </c>
    </row>
    <row r="489" spans="2:11" ht="15" customHeight="1">
      <c r="B489" s="98" t="s">
        <v>1112</v>
      </c>
      <c r="C489" s="99" t="s">
        <v>1113</v>
      </c>
      <c r="D489" s="100">
        <v>209.989</v>
      </c>
      <c r="E489" s="100">
        <v>103.27</v>
      </c>
      <c r="F489" s="101">
        <f t="shared" si="28"/>
        <v>21685.564030000001</v>
      </c>
      <c r="G489" s="102" t="str">
        <f t="shared" si="29"/>
        <v/>
      </c>
      <c r="H489" s="102">
        <v>2.7113392079016172E-2</v>
      </c>
      <c r="I489" s="103" t="str">
        <f t="shared" si="30"/>
        <v/>
      </c>
      <c r="J489" s="103" t="s">
        <v>243</v>
      </c>
      <c r="K489" s="103" t="str">
        <f t="shared" si="31"/>
        <v/>
      </c>
    </row>
    <row r="490" spans="2:11" ht="15" customHeight="1">
      <c r="B490" s="98" t="s">
        <v>1114</v>
      </c>
      <c r="C490" s="99" t="s">
        <v>1115</v>
      </c>
      <c r="D490" s="100">
        <v>190.684</v>
      </c>
      <c r="E490" s="100">
        <v>28.39</v>
      </c>
      <c r="F490" s="101">
        <f t="shared" si="28"/>
        <v>5413.5187599999999</v>
      </c>
      <c r="G490" s="102" t="str">
        <f t="shared" si="29"/>
        <v/>
      </c>
      <c r="H490" s="102">
        <v>7.0447340612891868E-3</v>
      </c>
      <c r="I490" s="103" t="str">
        <f t="shared" si="30"/>
        <v/>
      </c>
      <c r="J490" s="103" t="s">
        <v>243</v>
      </c>
      <c r="K490" s="103" t="str">
        <f t="shared" si="31"/>
        <v/>
      </c>
    </row>
    <row r="491" spans="2:11" ht="15" customHeight="1">
      <c r="B491" s="98" t="s">
        <v>1116</v>
      </c>
      <c r="C491" s="99" t="s">
        <v>1117</v>
      </c>
      <c r="D491" s="100">
        <v>533.65599999999995</v>
      </c>
      <c r="E491" s="100">
        <v>66.3</v>
      </c>
      <c r="F491" s="101">
        <f t="shared" si="28"/>
        <v>35381.392799999994</v>
      </c>
      <c r="G491" s="102">
        <f t="shared" si="29"/>
        <v>1.0145800194242658E-3</v>
      </c>
      <c r="H491" s="102" t="s">
        <v>243</v>
      </c>
      <c r="I491" s="103" t="str">
        <f t="shared" si="30"/>
        <v/>
      </c>
      <c r="J491" s="103">
        <v>5.1550000000000006E-2</v>
      </c>
      <c r="K491" s="103">
        <f t="shared" si="31"/>
        <v>5.2301600001320905E-5</v>
      </c>
    </row>
    <row r="492" spans="2:11" ht="15" customHeight="1">
      <c r="B492" s="98" t="s">
        <v>1118</v>
      </c>
      <c r="C492" s="99" t="s">
        <v>1119</v>
      </c>
      <c r="D492" s="100">
        <v>61.64</v>
      </c>
      <c r="E492" s="100">
        <v>541.79999999999995</v>
      </c>
      <c r="F492" s="101">
        <f t="shared" si="28"/>
        <v>33396.551999999996</v>
      </c>
      <c r="G492" s="102">
        <f t="shared" si="29"/>
        <v>9.5766366712571891E-4</v>
      </c>
      <c r="H492" s="102">
        <v>5.4632705795496497E-3</v>
      </c>
      <c r="I492" s="103">
        <f t="shared" si="30"/>
        <v>5.2319757377115691E-6</v>
      </c>
      <c r="J492" s="103">
        <v>9.7699999999999995E-2</v>
      </c>
      <c r="K492" s="103">
        <f t="shared" si="31"/>
        <v>9.3563740278182733E-5</v>
      </c>
    </row>
    <row r="493" spans="2:11" ht="15" customHeight="1">
      <c r="B493" s="98" t="s">
        <v>1120</v>
      </c>
      <c r="C493" s="99" t="s">
        <v>1121</v>
      </c>
      <c r="D493" s="100">
        <v>156.11199999999999</v>
      </c>
      <c r="E493" s="100">
        <v>148.29</v>
      </c>
      <c r="F493" s="101">
        <f t="shared" si="28"/>
        <v>23149.848479999997</v>
      </c>
      <c r="G493" s="102">
        <f t="shared" si="29"/>
        <v>6.6383406253320851E-4</v>
      </c>
      <c r="H493" s="102">
        <v>3.2369006676107627E-3</v>
      </c>
      <c r="I493" s="103">
        <f t="shared" si="30"/>
        <v>2.1487649201965073E-6</v>
      </c>
      <c r="J493" s="103">
        <v>0.17469999999999999</v>
      </c>
      <c r="K493" s="103">
        <f t="shared" si="31"/>
        <v>1.1597181072455153E-4</v>
      </c>
    </row>
    <row r="494" spans="2:11" ht="15" customHeight="1">
      <c r="B494" s="98" t="s">
        <v>1122</v>
      </c>
      <c r="C494" s="99" t="s">
        <v>1123</v>
      </c>
      <c r="D494" s="100">
        <v>1046.046</v>
      </c>
      <c r="E494" s="100">
        <v>58.03</v>
      </c>
      <c r="F494" s="101">
        <f t="shared" si="28"/>
        <v>60702.049380000004</v>
      </c>
      <c r="G494" s="102">
        <f t="shared" si="29"/>
        <v>1.7406631442460671E-3</v>
      </c>
      <c r="H494" s="102" t="s">
        <v>243</v>
      </c>
      <c r="I494" s="103" t="str">
        <f t="shared" si="30"/>
        <v/>
      </c>
      <c r="J494" s="103">
        <v>8.6850000000000011E-2</v>
      </c>
      <c r="K494" s="103">
        <f t="shared" si="31"/>
        <v>1.5117659407777094E-4</v>
      </c>
    </row>
    <row r="495" spans="2:11" ht="15" customHeight="1">
      <c r="B495" s="98" t="s">
        <v>1124</v>
      </c>
      <c r="C495" s="99" t="s">
        <v>1125</v>
      </c>
      <c r="D495" s="100">
        <v>3189.1959999999999</v>
      </c>
      <c r="E495" s="100">
        <v>197.88</v>
      </c>
      <c r="F495" s="101">
        <f t="shared" si="28"/>
        <v>631078.10447999998</v>
      </c>
      <c r="G495" s="102" t="str">
        <f t="shared" si="29"/>
        <v/>
      </c>
      <c r="H495" s="102" t="s">
        <v>243</v>
      </c>
      <c r="I495" s="103" t="str">
        <f t="shared" si="30"/>
        <v/>
      </c>
      <c r="J495" s="103">
        <v>-7.0000000000000007E-2</v>
      </c>
      <c r="K495" s="103" t="str">
        <f t="shared" si="31"/>
        <v/>
      </c>
    </row>
    <row r="496" spans="2:11" ht="15" customHeight="1">
      <c r="B496" s="98" t="s">
        <v>1291</v>
      </c>
      <c r="C496" s="99" t="s">
        <v>1292</v>
      </c>
      <c r="D496" s="100">
        <v>887.40200000000004</v>
      </c>
      <c r="E496" s="100">
        <v>105.24</v>
      </c>
      <c r="F496" s="101">
        <f t="shared" si="28"/>
        <v>93390.186480000004</v>
      </c>
      <c r="G496" s="102" t="str">
        <f t="shared" si="29"/>
        <v/>
      </c>
      <c r="H496" s="102">
        <v>6.6514633219308247E-3</v>
      </c>
      <c r="I496" s="103" t="str">
        <f t="shared" si="30"/>
        <v/>
      </c>
      <c r="J496" s="103" t="s">
        <v>243</v>
      </c>
      <c r="K496" s="103" t="str">
        <f t="shared" si="31"/>
        <v/>
      </c>
    </row>
    <row r="497" spans="2:11" ht="15" customHeight="1">
      <c r="B497" s="98" t="s">
        <v>1126</v>
      </c>
      <c r="C497" s="99" t="s">
        <v>1127</v>
      </c>
      <c r="D497" s="100">
        <v>375.49400000000003</v>
      </c>
      <c r="E497" s="100">
        <v>100.89</v>
      </c>
      <c r="F497" s="101">
        <f t="shared" si="28"/>
        <v>37883.589660000005</v>
      </c>
      <c r="G497" s="102">
        <f t="shared" si="29"/>
        <v>1.0863318284379051E-3</v>
      </c>
      <c r="H497" s="102" t="s">
        <v>243</v>
      </c>
      <c r="I497" s="103" t="str">
        <f t="shared" si="30"/>
        <v/>
      </c>
      <c r="J497" s="103">
        <v>4.41E-2</v>
      </c>
      <c r="K497" s="103">
        <f t="shared" si="31"/>
        <v>4.7907233634111617E-5</v>
      </c>
    </row>
    <row r="498" spans="2:11" ht="15" customHeight="1">
      <c r="B498" s="98" t="s">
        <v>1128</v>
      </c>
      <c r="C498" s="99" t="s">
        <v>1129</v>
      </c>
      <c r="D498" s="100">
        <v>703.26800000000003</v>
      </c>
      <c r="E498" s="100">
        <v>53.05</v>
      </c>
      <c r="F498" s="101">
        <f t="shared" si="28"/>
        <v>37308.367400000003</v>
      </c>
      <c r="G498" s="102">
        <f t="shared" si="29"/>
        <v>1.0698370280488125E-3</v>
      </c>
      <c r="H498" s="102">
        <v>5.2780395852968898E-2</v>
      </c>
      <c r="I498" s="103">
        <f t="shared" si="30"/>
        <v>5.6466421838580117E-5</v>
      </c>
      <c r="J498" s="103">
        <v>1.46E-2</v>
      </c>
      <c r="K498" s="103">
        <f t="shared" si="31"/>
        <v>1.5619620609512664E-5</v>
      </c>
    </row>
    <row r="499" spans="2:11" ht="15" customHeight="1">
      <c r="B499" s="98" t="s">
        <v>1230</v>
      </c>
      <c r="C499" s="99" t="s">
        <v>1231</v>
      </c>
      <c r="D499" s="100">
        <v>43.457999999999998</v>
      </c>
      <c r="E499" s="100">
        <v>381.02</v>
      </c>
      <c r="F499" s="101">
        <f t="shared" si="28"/>
        <v>16558.367159999998</v>
      </c>
      <c r="G499" s="102">
        <f t="shared" si="29"/>
        <v>4.7481987410136455E-4</v>
      </c>
      <c r="H499" s="102">
        <v>2.0996273161513833E-2</v>
      </c>
      <c r="I499" s="103">
        <f t="shared" si="30"/>
        <v>9.9694477791478576E-6</v>
      </c>
      <c r="J499" s="103">
        <v>1.8500000000000003E-2</v>
      </c>
      <c r="K499" s="103">
        <f t="shared" si="31"/>
        <v>8.7841676708752454E-6</v>
      </c>
    </row>
    <row r="500" spans="2:11" ht="15" customHeight="1">
      <c r="B500" s="98" t="s">
        <v>1130</v>
      </c>
      <c r="C500" s="99" t="s">
        <v>1131</v>
      </c>
      <c r="D500" s="100">
        <v>47.421999999999997</v>
      </c>
      <c r="E500" s="100">
        <v>387.98</v>
      </c>
      <c r="F500" s="101">
        <f t="shared" si="28"/>
        <v>18398.787560000001</v>
      </c>
      <c r="G500" s="102">
        <f t="shared" si="29"/>
        <v>5.27594895586127E-4</v>
      </c>
      <c r="H500" s="102" t="s">
        <v>243</v>
      </c>
      <c r="I500" s="103" t="str">
        <f t="shared" si="30"/>
        <v/>
      </c>
      <c r="J500" s="103">
        <v>7.3399999999999993E-2</v>
      </c>
      <c r="K500" s="103">
        <f t="shared" si="31"/>
        <v>3.8725465336021715E-5</v>
      </c>
    </row>
    <row r="501" spans="2:11" ht="15" customHeight="1">
      <c r="B501" s="98" t="s">
        <v>1278</v>
      </c>
      <c r="C501" s="99" t="s">
        <v>1279</v>
      </c>
      <c r="D501" s="100">
        <v>274.08600000000001</v>
      </c>
      <c r="E501" s="100">
        <v>171.51</v>
      </c>
      <c r="F501" s="101">
        <f t="shared" si="28"/>
        <v>47008.489860000001</v>
      </c>
      <c r="G501" s="102" t="str">
        <f t="shared" si="29"/>
        <v/>
      </c>
      <c r="H501" s="102" t="s">
        <v>243</v>
      </c>
      <c r="I501" s="103" t="str">
        <f t="shared" si="30"/>
        <v/>
      </c>
      <c r="J501" s="103" t="s">
        <v>243</v>
      </c>
      <c r="K501" s="103" t="str">
        <f t="shared" si="31"/>
        <v/>
      </c>
    </row>
    <row r="502" spans="2:11" ht="15" customHeight="1">
      <c r="B502" s="98" t="s">
        <v>1114</v>
      </c>
      <c r="C502" s="99" t="s">
        <v>1132</v>
      </c>
      <c r="D502" s="100">
        <v>379.20499999999998</v>
      </c>
      <c r="E502" s="100">
        <v>27.57</v>
      </c>
      <c r="F502" s="101">
        <f t="shared" si="28"/>
        <v>10454.681849999999</v>
      </c>
      <c r="G502" s="102" t="str">
        <f t="shared" si="29"/>
        <v/>
      </c>
      <c r="H502" s="102">
        <v>7.2542618788538271E-3</v>
      </c>
      <c r="I502" s="103" t="str">
        <f t="shared" si="30"/>
        <v/>
      </c>
      <c r="J502" s="103" t="s">
        <v>243</v>
      </c>
      <c r="K502" s="103" t="str">
        <f t="shared" si="31"/>
        <v/>
      </c>
    </row>
    <row r="503" spans="2:11" ht="15" customHeight="1">
      <c r="B503" s="98" t="s">
        <v>1133</v>
      </c>
      <c r="C503" s="99" t="s">
        <v>1134</v>
      </c>
      <c r="D503" s="100">
        <v>999.73500000000001</v>
      </c>
      <c r="E503" s="100">
        <v>34.61</v>
      </c>
      <c r="F503" s="101">
        <f t="shared" si="28"/>
        <v>34600.828350000003</v>
      </c>
      <c r="G503" s="102">
        <f t="shared" si="29"/>
        <v>9.9219692389946549E-4</v>
      </c>
      <c r="H503" s="102">
        <v>4.3917942791100839E-2</v>
      </c>
      <c r="I503" s="103">
        <f t="shared" si="30"/>
        <v>4.3575247741322955E-5</v>
      </c>
      <c r="J503" s="103">
        <v>5.6029999999999996E-2</v>
      </c>
      <c r="K503" s="103">
        <f t="shared" si="31"/>
        <v>5.5592793646087047E-5</v>
      </c>
    </row>
    <row r="504" spans="2:11" ht="15" customHeight="1">
      <c r="B504" s="98" t="s">
        <v>1135</v>
      </c>
      <c r="C504" s="99" t="s">
        <v>1136</v>
      </c>
      <c r="D504" s="100">
        <v>255.25</v>
      </c>
      <c r="E504" s="100">
        <v>96.7</v>
      </c>
      <c r="F504" s="101">
        <f t="shared" si="28"/>
        <v>24682.674999999999</v>
      </c>
      <c r="G504" s="102">
        <f t="shared" si="29"/>
        <v>7.077886679730382E-4</v>
      </c>
      <c r="H504" s="102">
        <v>1.0341261633919338E-2</v>
      </c>
      <c r="I504" s="103">
        <f t="shared" si="30"/>
        <v>7.3194277970324529E-6</v>
      </c>
      <c r="J504" s="103">
        <v>9.4E-2</v>
      </c>
      <c r="K504" s="103">
        <f t="shared" si="31"/>
        <v>6.6532134789465592E-5</v>
      </c>
    </row>
    <row r="505" spans="2:11" ht="15" customHeight="1">
      <c r="B505" s="98" t="s">
        <v>1137</v>
      </c>
      <c r="C505" s="99" t="s">
        <v>1138</v>
      </c>
      <c r="D505" s="100">
        <v>434.52300000000002</v>
      </c>
      <c r="E505" s="100">
        <v>97.7</v>
      </c>
      <c r="F505" s="101">
        <f t="shared" si="28"/>
        <v>42452.897100000002</v>
      </c>
      <c r="G505" s="102">
        <f t="shared" si="29"/>
        <v>1.2173591188963701E-3</v>
      </c>
      <c r="H505" s="102">
        <v>6.4073694984646878E-2</v>
      </c>
      <c r="I505" s="103">
        <f t="shared" si="30"/>
        <v>7.8000696870944493E-5</v>
      </c>
      <c r="J505" s="103">
        <v>8.0499999999999999E-3</v>
      </c>
      <c r="K505" s="103">
        <f t="shared" si="31"/>
        <v>9.799740907115779E-6</v>
      </c>
    </row>
    <row r="506" spans="2:11" ht="15" customHeight="1">
      <c r="B506" s="98" t="s">
        <v>1139</v>
      </c>
      <c r="C506" s="99" t="s">
        <v>1140</v>
      </c>
      <c r="D506" s="100">
        <v>272.06200000000001</v>
      </c>
      <c r="E506" s="100">
        <v>70.42</v>
      </c>
      <c r="F506" s="101">
        <f t="shared" si="28"/>
        <v>19158.606040000002</v>
      </c>
      <c r="G506" s="102" t="str">
        <f t="shared" si="29"/>
        <v/>
      </c>
      <c r="H506" s="102" t="s">
        <v>243</v>
      </c>
      <c r="I506" s="103" t="str">
        <f t="shared" si="30"/>
        <v/>
      </c>
      <c r="J506" s="103">
        <v>0.24809999999999999</v>
      </c>
      <c r="K506" s="103" t="str">
        <f t="shared" si="31"/>
        <v/>
      </c>
    </row>
    <row r="507" spans="2:11" ht="15" customHeight="1">
      <c r="B507" s="98" t="s">
        <v>1141</v>
      </c>
      <c r="C507" s="99" t="s">
        <v>1142</v>
      </c>
      <c r="D507" s="100">
        <v>75.281999999999996</v>
      </c>
      <c r="E507" s="100">
        <v>241.43</v>
      </c>
      <c r="F507" s="101">
        <f t="shared" si="28"/>
        <v>18175.333259999999</v>
      </c>
      <c r="G507" s="102">
        <f t="shared" si="29"/>
        <v>5.2118722618441711E-4</v>
      </c>
      <c r="H507" s="102" t="s">
        <v>243</v>
      </c>
      <c r="I507" s="103" t="str">
        <f t="shared" si="30"/>
        <v/>
      </c>
      <c r="J507" s="103">
        <v>0.1174</v>
      </c>
      <c r="K507" s="103">
        <f t="shared" si="31"/>
        <v>6.1187380354050565E-5</v>
      </c>
    </row>
    <row r="508" spans="2:11" ht="15" customHeight="1">
      <c r="B508" s="98" t="s">
        <v>1247</v>
      </c>
      <c r="C508" s="99" t="s">
        <v>1248</v>
      </c>
      <c r="D508" s="100">
        <v>1914.8109999999999</v>
      </c>
      <c r="E508" s="100">
        <v>18.18</v>
      </c>
      <c r="F508" s="101">
        <f t="shared" si="28"/>
        <v>34811.263979999996</v>
      </c>
      <c r="G508" s="102">
        <f t="shared" si="29"/>
        <v>9.9823127610204339E-4</v>
      </c>
      <c r="H508" s="102">
        <v>4.4004400440044007E-2</v>
      </c>
      <c r="I508" s="103">
        <f t="shared" si="30"/>
        <v>4.3926568805370446E-5</v>
      </c>
      <c r="J508" s="103">
        <v>0.1593</v>
      </c>
      <c r="K508" s="103">
        <f t="shared" si="31"/>
        <v>1.5901824228305552E-4</v>
      </c>
    </row>
    <row r="509" spans="2:11" ht="15" customHeight="1">
      <c r="B509" s="98" t="s">
        <v>1143</v>
      </c>
      <c r="C509" s="99" t="s">
        <v>1144</v>
      </c>
      <c r="D509" s="100">
        <v>221.71700000000001</v>
      </c>
      <c r="E509" s="100">
        <v>128.78</v>
      </c>
      <c r="F509" s="101">
        <f t="shared" si="28"/>
        <v>28552.715260000001</v>
      </c>
      <c r="G509" s="102" t="str">
        <f t="shared" si="29"/>
        <v/>
      </c>
      <c r="H509" s="102">
        <v>2.3295542786146917E-2</v>
      </c>
      <c r="I509" s="103" t="str">
        <f t="shared" si="30"/>
        <v/>
      </c>
      <c r="J509" s="103">
        <v>0.2112</v>
      </c>
      <c r="K509" s="103" t="str">
        <f t="shared" si="31"/>
        <v/>
      </c>
    </row>
    <row r="510" spans="2:11" ht="15" customHeight="1">
      <c r="B510" s="98" t="s">
        <v>1256</v>
      </c>
      <c r="C510" s="99" t="s">
        <v>1192</v>
      </c>
      <c r="D510" s="100">
        <v>141.595</v>
      </c>
      <c r="E510" s="100">
        <v>106.77</v>
      </c>
      <c r="F510" s="101">
        <f t="shared" si="28"/>
        <v>15118.09815</v>
      </c>
      <c r="G510" s="102" t="str">
        <f t="shared" si="29"/>
        <v/>
      </c>
      <c r="H510" s="102">
        <v>2.547532078299148E-2</v>
      </c>
      <c r="I510" s="103" t="str">
        <f t="shared" si="30"/>
        <v/>
      </c>
      <c r="J510" s="103">
        <v>-8.3000000000000004E-2</v>
      </c>
      <c r="K510" s="103" t="str">
        <f t="shared" si="31"/>
        <v/>
      </c>
    </row>
    <row r="511" spans="2:11" ht="15" customHeight="1">
      <c r="B511" s="98" t="s">
        <v>1145</v>
      </c>
      <c r="C511" s="99" t="s">
        <v>1146</v>
      </c>
      <c r="D511" s="100">
        <v>266.77600000000001</v>
      </c>
      <c r="E511" s="100">
        <v>41.59</v>
      </c>
      <c r="F511" s="101">
        <f t="shared" si="28"/>
        <v>11095.213840000002</v>
      </c>
      <c r="G511" s="102" t="str">
        <f t="shared" si="29"/>
        <v/>
      </c>
      <c r="H511" s="102">
        <v>2.8853089685020435E-2</v>
      </c>
      <c r="I511" s="103" t="str">
        <f t="shared" si="30"/>
        <v/>
      </c>
      <c r="J511" s="103" t="s">
        <v>243</v>
      </c>
      <c r="K511" s="103" t="str">
        <f t="shared" si="31"/>
        <v/>
      </c>
    </row>
    <row r="512" spans="2:11" ht="15" customHeight="1">
      <c r="B512" s="98" t="s">
        <v>1280</v>
      </c>
      <c r="C512" s="99" t="s">
        <v>1281</v>
      </c>
      <c r="D512" s="100">
        <v>25.442</v>
      </c>
      <c r="E512" s="100">
        <v>967.95</v>
      </c>
      <c r="F512" s="101">
        <f t="shared" si="28"/>
        <v>24626.583900000001</v>
      </c>
      <c r="G512" s="102">
        <f t="shared" si="29"/>
        <v>7.0618022622374887E-4</v>
      </c>
      <c r="H512" s="102" t="s">
        <v>243</v>
      </c>
      <c r="I512" s="103" t="str">
        <f t="shared" si="30"/>
        <v/>
      </c>
      <c r="J512" s="103">
        <v>8.3900000000000002E-2</v>
      </c>
      <c r="K512" s="103">
        <f t="shared" si="31"/>
        <v>5.9248520980172535E-5</v>
      </c>
    </row>
    <row r="513" spans="2:11" ht="15" customHeight="1">
      <c r="B513" s="98" t="s">
        <v>1232</v>
      </c>
      <c r="C513" s="99" t="s">
        <v>1233</v>
      </c>
      <c r="D513" s="100">
        <v>456.29500000000002</v>
      </c>
      <c r="E513" s="100">
        <v>173.36</v>
      </c>
      <c r="F513" s="101">
        <f t="shared" si="28"/>
        <v>79103.301200000016</v>
      </c>
      <c r="G513" s="102">
        <f t="shared" si="29"/>
        <v>2.2683287037818245E-3</v>
      </c>
      <c r="H513" s="102">
        <v>9.9676972773419473E-3</v>
      </c>
      <c r="I513" s="103">
        <f t="shared" si="30"/>
        <v>2.261001384480268E-5</v>
      </c>
      <c r="J513" s="103">
        <v>0.1036</v>
      </c>
      <c r="K513" s="103">
        <f t="shared" si="31"/>
        <v>2.3499885371179702E-4</v>
      </c>
    </row>
    <row r="514" spans="2:11" ht="15" customHeight="1">
      <c r="B514" s="98" t="s">
        <v>1149</v>
      </c>
      <c r="C514" s="99" t="s">
        <v>1150</v>
      </c>
      <c r="D514" s="100">
        <v>94.906000000000006</v>
      </c>
      <c r="E514" s="100">
        <v>756.6</v>
      </c>
      <c r="F514" s="101">
        <f t="shared" si="28"/>
        <v>71805.8796</v>
      </c>
      <c r="G514" s="102">
        <f t="shared" si="29"/>
        <v>2.0590713070895417E-3</v>
      </c>
      <c r="H514" s="102">
        <v>2.2521808088818398E-2</v>
      </c>
      <c r="I514" s="103">
        <f t="shared" si="30"/>
        <v>4.6374008819463111E-5</v>
      </c>
      <c r="J514" s="103">
        <v>0.10099999999999999</v>
      </c>
      <c r="K514" s="103">
        <f t="shared" si="31"/>
        <v>2.079662020160437E-4</v>
      </c>
    </row>
    <row r="515" spans="2:11" ht="15" customHeight="1">
      <c r="B515" s="98" t="s">
        <v>1147</v>
      </c>
      <c r="C515" s="99" t="s">
        <v>1148</v>
      </c>
      <c r="D515" s="100">
        <v>324.50200000000001</v>
      </c>
      <c r="E515" s="100">
        <v>152.05000000000001</v>
      </c>
      <c r="F515" s="101">
        <f t="shared" si="28"/>
        <v>49340.529100000007</v>
      </c>
      <c r="G515" s="102">
        <f t="shared" si="29"/>
        <v>1.4148655836036385E-3</v>
      </c>
      <c r="H515" s="102">
        <v>3.2094705688918118E-2</v>
      </c>
      <c r="I515" s="103">
        <f t="shared" si="30"/>
        <v>4.5409694495138148E-5</v>
      </c>
      <c r="J515" s="103">
        <v>2.0750000000000001E-2</v>
      </c>
      <c r="K515" s="103">
        <f t="shared" si="31"/>
        <v>2.9358460859775498E-5</v>
      </c>
    </row>
    <row r="516" spans="2:11" ht="15" customHeight="1">
      <c r="B516" s="98" t="s">
        <v>1151</v>
      </c>
      <c r="C516" s="99" t="s">
        <v>1152</v>
      </c>
      <c r="D516" s="100">
        <v>59</v>
      </c>
      <c r="E516" s="100">
        <v>297.3</v>
      </c>
      <c r="F516" s="101">
        <f t="shared" si="28"/>
        <v>17540.7</v>
      </c>
      <c r="G516" s="102">
        <f t="shared" si="29"/>
        <v>5.0298878417005745E-4</v>
      </c>
      <c r="H516" s="102" t="s">
        <v>243</v>
      </c>
      <c r="I516" s="103" t="str">
        <f t="shared" si="30"/>
        <v/>
      </c>
      <c r="J516" s="103">
        <v>0.11720000000000001</v>
      </c>
      <c r="K516" s="103">
        <f t="shared" si="31"/>
        <v>5.8950285504730741E-5</v>
      </c>
    </row>
    <row r="517" spans="2:11" ht="15" customHeight="1">
      <c r="B517" s="98" t="s">
        <v>1153</v>
      </c>
      <c r="C517" s="99" t="s">
        <v>1154</v>
      </c>
      <c r="D517" s="100">
        <v>745.04700000000003</v>
      </c>
      <c r="E517" s="100">
        <v>44.25</v>
      </c>
      <c r="F517" s="101">
        <f t="shared" si="28"/>
        <v>32968.329750000004</v>
      </c>
      <c r="G517" s="102" t="str">
        <f t="shared" si="29"/>
        <v/>
      </c>
      <c r="H517" s="102">
        <v>1.8079096045197741E-2</v>
      </c>
      <c r="I517" s="103" t="str">
        <f t="shared" si="30"/>
        <v/>
      </c>
      <c r="J517" s="103" t="s">
        <v>243</v>
      </c>
      <c r="K517" s="103" t="str">
        <f t="shared" si="31"/>
        <v/>
      </c>
    </row>
    <row r="518" spans="2:11" ht="15" customHeight="1">
      <c r="B518" s="27" t="s">
        <v>15</v>
      </c>
      <c r="C518" s="23"/>
      <c r="D518" s="104"/>
      <c r="E518" s="104"/>
      <c r="F518" s="104"/>
      <c r="K518" s="103"/>
    </row>
    <row r="519" spans="2:11" ht="15" customHeight="1">
      <c r="B519" s="22" t="s">
        <v>1155</v>
      </c>
      <c r="C519" s="22"/>
      <c r="D519" s="22"/>
      <c r="E519" s="22"/>
      <c r="F519" s="22"/>
      <c r="K519" s="103"/>
    </row>
    <row r="520" spans="2:11" ht="15" customHeight="1">
      <c r="B520" s="22" t="s">
        <v>1156</v>
      </c>
      <c r="C520" s="22"/>
      <c r="D520" s="22"/>
      <c r="E520" s="22"/>
      <c r="F520" s="22"/>
      <c r="K520" s="103"/>
    </row>
    <row r="521" spans="2:11" ht="15" customHeight="1">
      <c r="B521" s="96" t="s">
        <v>1157</v>
      </c>
      <c r="C521" s="22"/>
      <c r="D521" s="22"/>
      <c r="E521" s="22"/>
      <c r="F521" s="22"/>
      <c r="K521" s="103"/>
    </row>
    <row r="522" spans="2:11" ht="15" customHeight="1">
      <c r="B522" s="96" t="str">
        <f>"[4] Bloomberg Professional 30-day average as of "&amp; TEXT($A$1,"mmmm d yyyy")</f>
        <v>[4] Bloomberg Professional 30-day average as of June 30 2024</v>
      </c>
      <c r="C522" s="22"/>
      <c r="D522" s="22"/>
      <c r="E522" s="22"/>
      <c r="F522" s="22"/>
      <c r="K522" s="103"/>
    </row>
    <row r="523" spans="2:11" ht="15" customHeight="1">
      <c r="B523" s="96" t="str">
        <f>"[5] Bloomberg Professional 30-day average as of "&amp; TEXT($A$1,"mmmm d yyyy")</f>
        <v>[5] Bloomberg Professional 30-day average as of June 30 2024</v>
      </c>
      <c r="C523" s="22"/>
      <c r="D523" s="22"/>
      <c r="E523" s="22"/>
      <c r="F523" s="22"/>
      <c r="K523" s="103"/>
    </row>
    <row r="524" spans="2:11" ht="15" customHeight="1">
      <c r="B524" s="96" t="s">
        <v>1158</v>
      </c>
      <c r="C524" s="22"/>
      <c r="D524" s="22"/>
      <c r="E524" s="22"/>
      <c r="F524" s="22"/>
      <c r="K524" s="103"/>
    </row>
    <row r="525" spans="2:11" ht="15" customHeight="1">
      <c r="B525" s="22" t="s">
        <v>1159</v>
      </c>
      <c r="C525" s="22"/>
      <c r="D525" s="22"/>
      <c r="E525" s="22"/>
      <c r="F525" s="22"/>
      <c r="K525" s="103"/>
    </row>
    <row r="526" spans="2:11" ht="15" customHeight="1">
      <c r="B526" s="96" t="str">
        <f>"[8] Bloomberg Professional 30-day average as of "&amp; TEXT($A$1,"mmmm d yyyy")</f>
        <v>[8] Bloomberg Professional 30-day average as of June 30 2024</v>
      </c>
      <c r="C526" s="22"/>
      <c r="D526" s="22"/>
      <c r="E526" s="22"/>
      <c r="F526" s="22"/>
      <c r="K526" s="103"/>
    </row>
    <row r="527" spans="2:11" ht="15" customHeight="1">
      <c r="B527" s="22" t="s">
        <v>1160</v>
      </c>
      <c r="C527" s="22"/>
      <c r="D527" s="22"/>
      <c r="E527" s="22"/>
      <c r="F527" s="22"/>
      <c r="K527" s="103"/>
    </row>
    <row r="528" spans="2:11" ht="15" customHeight="1">
      <c r="B528" s="96" t="str">
        <f>"[10] Bloomberg Professional 30-day average as of "&amp; TEXT($A$1,"mmmm d yyyy")</f>
        <v>[10] Bloomberg Professional 30-day average as of June 30 2024</v>
      </c>
      <c r="C528" s="22"/>
      <c r="D528" s="22"/>
      <c r="E528" s="22"/>
      <c r="F528" s="22"/>
      <c r="K528" s="103"/>
    </row>
    <row r="529" spans="2:11" ht="15" customHeight="1">
      <c r="B529" s="22" t="s">
        <v>1161</v>
      </c>
      <c r="C529" s="22"/>
      <c r="D529" s="22"/>
      <c r="E529" s="22"/>
      <c r="F529" s="22"/>
      <c r="K529" s="103"/>
    </row>
    <row r="530" spans="2:11" ht="15" customHeight="1">
      <c r="K530" s="103"/>
    </row>
    <row r="531" spans="2:11" ht="15" customHeight="1">
      <c r="K531" s="103"/>
    </row>
    <row r="532" spans="2:11" ht="15" customHeight="1">
      <c r="K532" s="103"/>
    </row>
  </sheetData>
  <mergeCells count="1">
    <mergeCell ref="B1:K1"/>
  </mergeCells>
  <conditionalFormatting sqref="F3:F7">
    <cfRule type="containsText" dxfId="18" priority="2" operator="containsText" text="TRUE">
      <formula>NOT(ISERROR(SEARCH("TRUE",F3)))</formula>
    </cfRule>
  </conditionalFormatting>
  <printOptions horizontalCentered="1"/>
  <pageMargins left="0.7" right="0.7" top="1.5" bottom="0.75" header="0.3" footer="0.3"/>
  <pageSetup scale="45" orientation="portrait" useFirstPageNumber="1" r:id="rId1"/>
  <headerFooter scaleWithDoc="0">
    <oddHeader xml:space="preserve">&amp;RDocket No. U-_____ 
Exhibit AEB-7
Page &amp;P of 6
</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autoPageBreaks="0" fitToPage="1"/>
  </sheetPr>
  <dimension ref="A2:AD181"/>
  <sheetViews>
    <sheetView showGridLines="0" zoomScale="80" zoomScaleNormal="80" workbookViewId="0">
      <selection activeCell="O54" sqref="O54"/>
    </sheetView>
  </sheetViews>
  <sheetFormatPr defaultColWidth="8.54296875" defaultRowHeight="15" customHeight="1"/>
  <cols>
    <col min="1" max="1" width="3.453125" style="4" customWidth="1"/>
    <col min="2" max="2" width="10.453125" style="4" customWidth="1"/>
    <col min="3" max="3" width="13.54296875" style="4" customWidth="1"/>
    <col min="4" max="4" width="12.54296875" style="4" customWidth="1"/>
    <col min="5" max="5" width="10.54296875" style="4" customWidth="1"/>
    <col min="6" max="6" width="8.54296875" style="4"/>
    <col min="7" max="7" width="30" style="4" customWidth="1"/>
    <col min="8" max="8" width="12.7265625" style="4" bestFit="1" customWidth="1"/>
    <col min="9" max="9" width="19.7265625" style="4" customWidth="1"/>
    <col min="10" max="12" width="14" style="4" bestFit="1" customWidth="1"/>
    <col min="13" max="15" width="12.7265625" style="4" bestFit="1" customWidth="1"/>
    <col min="16" max="25" width="8.54296875" style="4"/>
    <col min="26" max="26" width="1.54296875" style="63" customWidth="1"/>
    <col min="27" max="16384" width="8.54296875" style="4"/>
  </cols>
  <sheetData>
    <row r="2" spans="2:30" ht="15" customHeight="1">
      <c r="B2" s="537" t="s">
        <v>88</v>
      </c>
      <c r="C2" s="537"/>
      <c r="D2" s="537"/>
      <c r="E2" s="537"/>
    </row>
    <row r="4" spans="2:30" ht="15" customHeight="1" thickBot="1">
      <c r="B4" s="43"/>
      <c r="C4" s="44" t="s">
        <v>0</v>
      </c>
      <c r="D4" s="44" t="s">
        <v>1</v>
      </c>
      <c r="E4" s="44" t="s">
        <v>2</v>
      </c>
    </row>
    <row r="5" spans="2:30" ht="62">
      <c r="B5" s="45" t="s">
        <v>89</v>
      </c>
      <c r="C5" s="46" t="s">
        <v>1235</v>
      </c>
      <c r="D5" s="46" t="s">
        <v>90</v>
      </c>
      <c r="E5" s="46" t="s">
        <v>81</v>
      </c>
    </row>
    <row r="6" spans="2:30" ht="15" customHeight="1">
      <c r="B6" s="47">
        <v>1980.1</v>
      </c>
      <c r="C6" s="48">
        <v>0.13446153846153847</v>
      </c>
      <c r="D6" s="48">
        <v>0.11657096774193544</v>
      </c>
      <c r="E6" s="49">
        <f>C6-D6</f>
        <v>1.7890570719603024E-2</v>
      </c>
      <c r="AB6" s="147"/>
      <c r="AC6" s="147"/>
      <c r="AD6" s="147"/>
    </row>
    <row r="7" spans="2:30" ht="15" customHeight="1">
      <c r="B7" s="47">
        <v>1980.2</v>
      </c>
      <c r="C7" s="48">
        <v>0.14377777777777778</v>
      </c>
      <c r="D7" s="48">
        <v>0.10524920634920633</v>
      </c>
      <c r="E7" s="50">
        <f t="shared" ref="E7:E70" si="0">C7-D7</f>
        <v>3.8528571428571454E-2</v>
      </c>
      <c r="AB7" s="147"/>
      <c r="AC7" s="147"/>
      <c r="AD7" s="147"/>
    </row>
    <row r="8" spans="2:30" ht="15" customHeight="1">
      <c r="B8" s="47">
        <v>1980.3</v>
      </c>
      <c r="C8" s="48">
        <v>0.13874166666666668</v>
      </c>
      <c r="D8" s="48">
        <v>0.1085</v>
      </c>
      <c r="E8" s="50">
        <f t="shared" si="0"/>
        <v>3.0241666666666681E-2</v>
      </c>
      <c r="AB8" s="147"/>
      <c r="AC8" s="147"/>
      <c r="AD8" s="147"/>
    </row>
    <row r="9" spans="2:30" ht="15" customHeight="1">
      <c r="B9" s="47">
        <v>1980.4</v>
      </c>
      <c r="C9" s="48">
        <v>0.14350434782608698</v>
      </c>
      <c r="D9" s="48">
        <v>0.12096229508196724</v>
      </c>
      <c r="E9" s="50">
        <f t="shared" si="0"/>
        <v>2.2542052744119745E-2</v>
      </c>
      <c r="AB9" s="147"/>
      <c r="AC9" s="147"/>
      <c r="AD9" s="147"/>
    </row>
    <row r="10" spans="2:30" ht="15" customHeight="1">
      <c r="B10" s="47">
        <v>1981.1</v>
      </c>
      <c r="C10" s="48">
        <v>0.14712500000000001</v>
      </c>
      <c r="D10" s="48">
        <v>0.12533278688524591</v>
      </c>
      <c r="E10" s="50">
        <f t="shared" si="0"/>
        <v>2.17922131147541E-2</v>
      </c>
      <c r="AB10" s="147"/>
      <c r="AC10" s="147"/>
      <c r="AD10" s="147"/>
    </row>
    <row r="11" spans="2:30" ht="15" customHeight="1">
      <c r="B11" s="47">
        <v>1981.2</v>
      </c>
      <c r="C11" s="48">
        <v>0.14607000000000001</v>
      </c>
      <c r="D11" s="48">
        <v>0.13242857142857142</v>
      </c>
      <c r="E11" s="50">
        <f t="shared" si="0"/>
        <v>1.3641428571428582E-2</v>
      </c>
      <c r="AB11" s="147"/>
      <c r="AC11" s="147"/>
      <c r="AD11" s="147"/>
    </row>
    <row r="12" spans="2:30" ht="15" customHeight="1">
      <c r="B12" s="47">
        <v>1981.3</v>
      </c>
      <c r="C12" s="48">
        <v>0.14856111111111112</v>
      </c>
      <c r="D12" s="48">
        <v>0.14132343749999998</v>
      </c>
      <c r="E12" s="50">
        <f t="shared" si="0"/>
        <v>7.2376736111111339E-3</v>
      </c>
      <c r="AB12" s="147"/>
      <c r="AC12" s="147"/>
      <c r="AD12" s="147"/>
    </row>
    <row r="13" spans="2:30" ht="15" customHeight="1">
      <c r="B13" s="47">
        <v>1981.4</v>
      </c>
      <c r="C13" s="48">
        <v>0.15704782608695653</v>
      </c>
      <c r="D13" s="48">
        <v>0.13847868852459014</v>
      </c>
      <c r="E13" s="50">
        <f t="shared" si="0"/>
        <v>1.8569137562366389E-2</v>
      </c>
      <c r="AB13" s="147"/>
      <c r="AC13" s="147"/>
      <c r="AD13" s="147"/>
    </row>
    <row r="14" spans="2:30" ht="15" customHeight="1">
      <c r="B14" s="47">
        <v>1982.1</v>
      </c>
      <c r="C14" s="48">
        <v>0.15552666666666667</v>
      </c>
      <c r="D14" s="48">
        <v>0.13962131147540985</v>
      </c>
      <c r="E14" s="50">
        <f t="shared" si="0"/>
        <v>1.5905355191256826E-2</v>
      </c>
      <c r="AB14" s="147"/>
      <c r="AC14" s="147"/>
      <c r="AD14" s="147"/>
    </row>
    <row r="15" spans="2:30" ht="15" customHeight="1">
      <c r="B15" s="47">
        <v>1982.2</v>
      </c>
      <c r="C15" s="48">
        <v>0.15621249999999998</v>
      </c>
      <c r="D15" s="48">
        <v>0.13521904761904768</v>
      </c>
      <c r="E15" s="50">
        <f t="shared" si="0"/>
        <v>2.0993452380952293E-2</v>
      </c>
      <c r="AB15" s="147"/>
      <c r="AC15" s="147"/>
      <c r="AD15" s="147"/>
    </row>
    <row r="16" spans="2:30" ht="15" customHeight="1">
      <c r="B16" s="47">
        <v>1982.3</v>
      </c>
      <c r="C16" s="48">
        <v>0.15765714285714288</v>
      </c>
      <c r="D16" s="48">
        <v>0.12794375000000005</v>
      </c>
      <c r="E16" s="50">
        <f t="shared" si="0"/>
        <v>2.9713392857142834E-2</v>
      </c>
      <c r="AB16" s="147"/>
      <c r="AC16" s="147"/>
      <c r="AD16" s="147"/>
    </row>
    <row r="17" spans="2:30" ht="15" customHeight="1">
      <c r="B17" s="47">
        <v>1982.4</v>
      </c>
      <c r="C17" s="48">
        <v>0.15631999999999996</v>
      </c>
      <c r="D17" s="48">
        <v>0.10746229508196721</v>
      </c>
      <c r="E17" s="50">
        <f t="shared" si="0"/>
        <v>4.8857704918032749E-2</v>
      </c>
      <c r="AB17" s="147"/>
      <c r="AC17" s="147"/>
      <c r="AD17" s="147"/>
    </row>
    <row r="18" spans="2:30" ht="15" customHeight="1">
      <c r="B18" s="47">
        <v>1983.1</v>
      </c>
      <c r="C18" s="48">
        <v>0.15413999999999997</v>
      </c>
      <c r="D18" s="48">
        <v>0.10706825396825397</v>
      </c>
      <c r="E18" s="50">
        <f t="shared" si="0"/>
        <v>4.7071746031746006E-2</v>
      </c>
      <c r="AB18" s="147"/>
      <c r="AC18" s="147"/>
      <c r="AD18" s="147"/>
    </row>
    <row r="19" spans="2:30" ht="15" customHeight="1">
      <c r="B19" s="47">
        <v>1983.2</v>
      </c>
      <c r="C19" s="48">
        <v>0.14839285714285716</v>
      </c>
      <c r="D19" s="48">
        <v>0.10653174603174603</v>
      </c>
      <c r="E19" s="50">
        <f t="shared" si="0"/>
        <v>4.1861111111111127E-2</v>
      </c>
      <c r="AB19" s="147"/>
      <c r="AC19" s="147"/>
      <c r="AD19" s="147"/>
    </row>
    <row r="20" spans="2:30" ht="15" customHeight="1">
      <c r="B20" s="47">
        <v>1983.3</v>
      </c>
      <c r="C20" s="48">
        <v>0.1524375</v>
      </c>
      <c r="D20" s="48">
        <v>0.11624531249999998</v>
      </c>
      <c r="E20" s="50">
        <f t="shared" si="0"/>
        <v>3.6192187500000028E-2</v>
      </c>
      <c r="AB20" s="147"/>
      <c r="AC20" s="147"/>
      <c r="AD20" s="147"/>
    </row>
    <row r="21" spans="2:30" ht="15" customHeight="1">
      <c r="B21" s="47">
        <v>1983.4</v>
      </c>
      <c r="C21" s="48">
        <v>0.15401052631578946</v>
      </c>
      <c r="D21" s="48">
        <v>0.11737</v>
      </c>
      <c r="E21" s="50">
        <f t="shared" si="0"/>
        <v>3.6640526315789457E-2</v>
      </c>
      <c r="AB21" s="147"/>
      <c r="AC21" s="147"/>
      <c r="AD21" s="147"/>
    </row>
    <row r="22" spans="2:30" ht="15" customHeight="1">
      <c r="B22" s="47">
        <v>1984.1</v>
      </c>
      <c r="C22" s="48">
        <v>0.15385000000000001</v>
      </c>
      <c r="D22" s="48">
        <v>0.12036290322580651</v>
      </c>
      <c r="E22" s="50">
        <f t="shared" si="0"/>
        <v>3.3487096774193509E-2</v>
      </c>
      <c r="G22" s="180" t="s">
        <v>102</v>
      </c>
      <c r="H22" s="180"/>
      <c r="I22" s="180"/>
      <c r="J22" s="180"/>
      <c r="K22" s="180"/>
      <c r="L22" s="180"/>
      <c r="M22" s="180"/>
      <c r="N22" s="180"/>
      <c r="O22" s="180"/>
      <c r="AB22" s="147"/>
      <c r="AC22" s="147"/>
      <c r="AD22" s="147"/>
    </row>
    <row r="23" spans="2:30" ht="15" customHeight="1" thickBot="1">
      <c r="B23" s="47">
        <v>1984.2</v>
      </c>
      <c r="C23" s="48">
        <v>0.15071428571428575</v>
      </c>
      <c r="D23" s="48">
        <v>0.13183968253968248</v>
      </c>
      <c r="E23" s="50">
        <f t="shared" si="0"/>
        <v>1.8874603174603266E-2</v>
      </c>
      <c r="G23" s="180"/>
      <c r="H23" s="180"/>
      <c r="I23" s="180"/>
      <c r="J23" s="180"/>
      <c r="K23" s="180"/>
      <c r="L23" s="180"/>
      <c r="M23" s="180"/>
      <c r="N23" s="180"/>
      <c r="O23" s="180"/>
      <c r="AB23" s="147"/>
      <c r="AC23" s="147"/>
      <c r="AD23" s="147"/>
    </row>
    <row r="24" spans="2:30" ht="15" customHeight="1">
      <c r="B24" s="47">
        <v>1984.3</v>
      </c>
      <c r="C24" s="48">
        <v>0.15463636363636363</v>
      </c>
      <c r="D24" s="48">
        <v>0.12689047619047616</v>
      </c>
      <c r="E24" s="50">
        <f t="shared" si="0"/>
        <v>2.7745887445887463E-2</v>
      </c>
      <c r="G24" s="181" t="s">
        <v>105</v>
      </c>
      <c r="H24" s="181"/>
      <c r="I24" s="180"/>
      <c r="J24" s="180"/>
      <c r="K24" s="180"/>
      <c r="L24" s="180"/>
      <c r="M24" s="180"/>
      <c r="N24" s="180"/>
      <c r="O24" s="180"/>
      <c r="AB24" s="147"/>
      <c r="AC24" s="147"/>
      <c r="AD24" s="147"/>
    </row>
    <row r="25" spans="2:30" ht="15" customHeight="1">
      <c r="B25" s="47">
        <v>1984.4</v>
      </c>
      <c r="C25" s="48">
        <v>0.15330833333333332</v>
      </c>
      <c r="D25" s="48">
        <v>0.11698852459016393</v>
      </c>
      <c r="E25" s="50">
        <f t="shared" si="0"/>
        <v>3.6319808743169396E-2</v>
      </c>
      <c r="G25" s="182" t="s">
        <v>107</v>
      </c>
      <c r="H25" s="183">
        <v>0.92684391053159021</v>
      </c>
      <c r="I25" s="180"/>
      <c r="J25" s="180"/>
      <c r="K25" s="180"/>
      <c r="L25" s="180"/>
      <c r="M25" s="180"/>
      <c r="N25" s="180"/>
      <c r="O25" s="180"/>
      <c r="AB25" s="147"/>
      <c r="AC25" s="147"/>
      <c r="AD25" s="147"/>
    </row>
    <row r="26" spans="2:30" ht="15" customHeight="1">
      <c r="B26" s="47">
        <v>1985.1</v>
      </c>
      <c r="C26" s="48">
        <v>0.15032499999999999</v>
      </c>
      <c r="D26" s="48">
        <v>0.11584000000000001</v>
      </c>
      <c r="E26" s="50">
        <f t="shared" si="0"/>
        <v>3.4484999999999974E-2</v>
      </c>
      <c r="G26" s="182" t="s">
        <v>109</v>
      </c>
      <c r="H26" s="183">
        <v>0.85903963448949039</v>
      </c>
      <c r="I26" s="180"/>
      <c r="J26" s="180"/>
      <c r="K26" s="180"/>
      <c r="L26" s="180"/>
      <c r="M26" s="180"/>
      <c r="N26" s="180"/>
      <c r="O26" s="180"/>
      <c r="AB26" s="147"/>
      <c r="AC26" s="147"/>
      <c r="AD26" s="147"/>
    </row>
    <row r="27" spans="2:30" ht="15" customHeight="1">
      <c r="B27" s="47">
        <v>1985.2</v>
      </c>
      <c r="C27" s="48">
        <v>0.15442500000000001</v>
      </c>
      <c r="D27" s="48">
        <v>0.10995873015873014</v>
      </c>
      <c r="E27" s="50">
        <f t="shared" si="0"/>
        <v>4.4466269841269862E-2</v>
      </c>
      <c r="G27" s="182" t="s">
        <v>111</v>
      </c>
      <c r="H27" s="183">
        <v>0.85822009748070838</v>
      </c>
      <c r="I27" s="180"/>
      <c r="J27" s="180"/>
      <c r="K27" s="180"/>
      <c r="L27" s="180"/>
      <c r="M27" s="180"/>
      <c r="N27" s="180"/>
      <c r="O27" s="180"/>
      <c r="AB27" s="147"/>
      <c r="AC27" s="147"/>
      <c r="AD27" s="147"/>
    </row>
    <row r="28" spans="2:30" ht="15" customHeight="1">
      <c r="B28" s="47">
        <v>1985.3</v>
      </c>
      <c r="C28" s="48">
        <v>0.14636666666666664</v>
      </c>
      <c r="D28" s="48">
        <v>0.10553015873015874</v>
      </c>
      <c r="E28" s="50">
        <f t="shared" si="0"/>
        <v>4.0836507936507907E-2</v>
      </c>
      <c r="G28" s="182" t="s">
        <v>113</v>
      </c>
      <c r="H28" s="183">
        <v>5.4065321644662517E-3</v>
      </c>
      <c r="I28" s="180"/>
      <c r="J28" s="180"/>
      <c r="K28" s="180"/>
      <c r="L28" s="180"/>
      <c r="M28" s="180"/>
      <c r="N28" s="180"/>
      <c r="O28" s="180"/>
      <c r="AB28" s="147"/>
      <c r="AC28" s="147"/>
      <c r="AD28" s="147"/>
    </row>
    <row r="29" spans="2:30" ht="15" customHeight="1" thickBot="1">
      <c r="B29" s="200">
        <v>1985.4</v>
      </c>
      <c r="C29" s="48">
        <v>0.14368333333333333</v>
      </c>
      <c r="D29" s="48">
        <v>0.10039838709677419</v>
      </c>
      <c r="E29" s="50">
        <f t="shared" si="0"/>
        <v>4.3284946236559138E-2</v>
      </c>
      <c r="G29" s="184" t="s">
        <v>115</v>
      </c>
      <c r="H29" s="199">
        <v>174</v>
      </c>
      <c r="I29" s="180"/>
      <c r="J29" s="180"/>
      <c r="K29" s="180"/>
      <c r="L29" s="180"/>
      <c r="M29" s="180"/>
      <c r="N29" s="180"/>
      <c r="O29" s="180"/>
      <c r="AB29" s="147"/>
      <c r="AC29" s="147"/>
      <c r="AD29" s="147"/>
    </row>
    <row r="30" spans="2:30" ht="15" customHeight="1">
      <c r="B30" s="47">
        <v>1986.1</v>
      </c>
      <c r="C30" s="48">
        <v>0.14050000000000001</v>
      </c>
      <c r="D30" s="48">
        <v>8.7693333333333318E-2</v>
      </c>
      <c r="E30" s="50">
        <f t="shared" si="0"/>
        <v>5.2806666666666696E-2</v>
      </c>
      <c r="G30" s="180"/>
      <c r="H30" s="180"/>
      <c r="I30" s="180"/>
      <c r="J30" s="180"/>
      <c r="K30" s="180"/>
      <c r="L30" s="180"/>
      <c r="M30" s="180"/>
      <c r="N30" s="180"/>
      <c r="O30" s="180"/>
      <c r="AB30" s="147"/>
      <c r="AC30" s="147"/>
      <c r="AD30" s="147"/>
    </row>
    <row r="31" spans="2:30" ht="15" customHeight="1" thickBot="1">
      <c r="B31" s="47">
        <v>1986.2</v>
      </c>
      <c r="C31" s="48">
        <v>0.13276666666666667</v>
      </c>
      <c r="D31" s="48">
        <v>7.4906250000000008E-2</v>
      </c>
      <c r="E31" s="50">
        <f t="shared" si="0"/>
        <v>5.7860416666666664E-2</v>
      </c>
      <c r="G31" s="180" t="s">
        <v>117</v>
      </c>
      <c r="H31" s="180"/>
      <c r="I31" s="180"/>
      <c r="J31" s="180"/>
      <c r="K31" s="180"/>
      <c r="L31" s="180"/>
      <c r="M31" s="180"/>
      <c r="N31" s="180"/>
      <c r="O31" s="180"/>
      <c r="AB31" s="147"/>
      <c r="AC31" s="147"/>
      <c r="AD31" s="147"/>
    </row>
    <row r="32" spans="2:30" ht="15" customHeight="1">
      <c r="B32" s="47">
        <v>1986.3</v>
      </c>
      <c r="C32" s="48">
        <v>0.13090000000000002</v>
      </c>
      <c r="D32" s="48">
        <v>7.4042187499999995E-2</v>
      </c>
      <c r="E32" s="50">
        <f t="shared" si="0"/>
        <v>5.6857812500000021E-2</v>
      </c>
      <c r="G32" s="185"/>
      <c r="H32" s="185" t="s">
        <v>119</v>
      </c>
      <c r="I32" s="185" t="s">
        <v>120</v>
      </c>
      <c r="J32" s="185" t="s">
        <v>121</v>
      </c>
      <c r="K32" s="185" t="s">
        <v>122</v>
      </c>
      <c r="L32" s="185" t="s">
        <v>123</v>
      </c>
      <c r="M32" s="180"/>
      <c r="N32" s="180"/>
      <c r="O32" s="180"/>
      <c r="AB32" s="147"/>
      <c r="AC32" s="147"/>
      <c r="AD32" s="147"/>
    </row>
    <row r="33" spans="2:30" ht="15" customHeight="1">
      <c r="B33" s="47">
        <v>1986.4</v>
      </c>
      <c r="C33" s="48">
        <v>0.13621428571428573</v>
      </c>
      <c r="D33" s="48">
        <v>7.5280645161290308E-2</v>
      </c>
      <c r="E33" s="50">
        <f t="shared" si="0"/>
        <v>6.0933640552995424E-2</v>
      </c>
      <c r="G33" s="182" t="s">
        <v>125</v>
      </c>
      <c r="H33" s="182">
        <v>1</v>
      </c>
      <c r="I33" s="186">
        <v>3.0639538079967235E-2</v>
      </c>
      <c r="J33" s="186">
        <v>3.0639538079967235E-2</v>
      </c>
      <c r="K33" s="186">
        <v>1048.2011492881388</v>
      </c>
      <c r="L33" s="186">
        <v>4.3498358112710502E-75</v>
      </c>
      <c r="M33" s="180"/>
      <c r="N33" s="180"/>
      <c r="O33" s="180"/>
      <c r="P33" s="51"/>
      <c r="Q33" s="51"/>
      <c r="R33" s="51"/>
      <c r="S33" s="51"/>
      <c r="T33" s="51"/>
      <c r="U33" s="51"/>
      <c r="V33" s="51"/>
      <c r="W33" s="51"/>
      <c r="X33" s="51"/>
      <c r="Y33" s="51"/>
      <c r="AB33" s="147"/>
      <c r="AC33" s="147"/>
      <c r="AD33" s="147"/>
    </row>
    <row r="34" spans="2:30" ht="15" customHeight="1">
      <c r="B34" s="47">
        <v>1987.1</v>
      </c>
      <c r="C34" s="48">
        <v>0.12608571428571427</v>
      </c>
      <c r="D34" s="48">
        <v>7.4936065573770486E-2</v>
      </c>
      <c r="E34" s="50">
        <f t="shared" si="0"/>
        <v>5.1149648711943788E-2</v>
      </c>
      <c r="G34" s="182" t="s">
        <v>127</v>
      </c>
      <c r="H34" s="182">
        <v>172</v>
      </c>
      <c r="I34" s="186">
        <v>5.0276614878101986E-3</v>
      </c>
      <c r="J34" s="186">
        <v>2.9230590045408132E-5</v>
      </c>
      <c r="K34" s="186"/>
      <c r="L34" s="186"/>
      <c r="M34" s="180"/>
      <c r="N34" s="180"/>
      <c r="O34" s="180"/>
      <c r="P34" s="51"/>
      <c r="Q34" s="51"/>
      <c r="R34" s="51"/>
      <c r="S34" s="51"/>
      <c r="T34" s="51"/>
      <c r="U34" s="51"/>
      <c r="V34" s="51"/>
      <c r="W34" s="51"/>
      <c r="X34" s="51"/>
      <c r="Y34" s="51"/>
      <c r="AB34" s="147"/>
      <c r="AC34" s="147"/>
      <c r="AD34" s="147"/>
    </row>
    <row r="35" spans="2:30" ht="15" customHeight="1" thickBot="1">
      <c r="B35" s="47">
        <v>1987.2</v>
      </c>
      <c r="C35" s="48">
        <v>0.13037500000000002</v>
      </c>
      <c r="D35" s="48">
        <v>8.5306349206349191E-2</v>
      </c>
      <c r="E35" s="50">
        <f t="shared" si="0"/>
        <v>4.5068650793650827E-2</v>
      </c>
      <c r="G35" s="184" t="s">
        <v>129</v>
      </c>
      <c r="H35" s="184">
        <v>173</v>
      </c>
      <c r="I35" s="187">
        <v>3.5667199567777433E-2</v>
      </c>
      <c r="J35" s="187"/>
      <c r="K35" s="187"/>
      <c r="L35" s="187"/>
      <c r="M35" s="180"/>
      <c r="N35" s="180"/>
      <c r="O35" s="180"/>
      <c r="P35" s="51"/>
      <c r="Q35" s="51"/>
      <c r="R35" s="51"/>
      <c r="S35" s="51"/>
      <c r="T35" s="51"/>
      <c r="U35" s="51"/>
      <c r="V35" s="51"/>
      <c r="W35" s="51"/>
      <c r="X35" s="51"/>
      <c r="Y35" s="51"/>
      <c r="AB35" s="147"/>
      <c r="AC35" s="147"/>
      <c r="AD35" s="147"/>
    </row>
    <row r="36" spans="2:30" ht="15" customHeight="1" thickBot="1">
      <c r="B36" s="47">
        <v>1987.3</v>
      </c>
      <c r="C36" s="48">
        <v>0.127</v>
      </c>
      <c r="D36" s="48">
        <v>9.0592187499999977E-2</v>
      </c>
      <c r="E36" s="50">
        <f t="shared" si="0"/>
        <v>3.6407812500000025E-2</v>
      </c>
      <c r="G36" s="180"/>
      <c r="H36" s="180"/>
      <c r="I36" s="180"/>
      <c r="J36" s="180"/>
      <c r="K36" s="180"/>
      <c r="L36" s="180"/>
      <c r="M36" s="180"/>
      <c r="N36" s="180"/>
      <c r="O36" s="180"/>
      <c r="AB36" s="147"/>
      <c r="AC36" s="147"/>
      <c r="AD36" s="147"/>
    </row>
    <row r="37" spans="2:30" ht="15" customHeight="1">
      <c r="B37" s="47">
        <v>1987.4</v>
      </c>
      <c r="C37" s="48">
        <v>0.12686666666666666</v>
      </c>
      <c r="D37" s="48">
        <v>9.2301538461538449E-2</v>
      </c>
      <c r="E37" s="50">
        <f t="shared" si="0"/>
        <v>3.4565128205128207E-2</v>
      </c>
      <c r="G37" s="185"/>
      <c r="H37" s="185" t="s">
        <v>131</v>
      </c>
      <c r="I37" s="185" t="s">
        <v>113</v>
      </c>
      <c r="J37" s="185" t="s">
        <v>132</v>
      </c>
      <c r="K37" s="185" t="s">
        <v>133</v>
      </c>
      <c r="L37" s="185" t="s">
        <v>134</v>
      </c>
      <c r="M37" s="185" t="s">
        <v>135</v>
      </c>
      <c r="N37" s="185" t="s">
        <v>136</v>
      </c>
      <c r="O37" s="185" t="s">
        <v>137</v>
      </c>
      <c r="AB37" s="147"/>
      <c r="AC37" s="147"/>
      <c r="AD37" s="147"/>
    </row>
    <row r="38" spans="2:30" ht="15" customHeight="1">
      <c r="B38" s="47">
        <v>1988.1</v>
      </c>
      <c r="C38" s="48">
        <v>0.12940000000000002</v>
      </c>
      <c r="D38" s="48">
        <v>8.6266129032258082E-2</v>
      </c>
      <c r="E38" s="50">
        <f t="shared" si="0"/>
        <v>4.3133870967741933E-2</v>
      </c>
      <c r="G38" s="182" t="s">
        <v>139</v>
      </c>
      <c r="H38" s="188">
        <v>7.9051424640236068E-2</v>
      </c>
      <c r="I38" s="189">
        <v>9.0421019144179668E-4</v>
      </c>
      <c r="J38" s="189">
        <v>87.42593855769934</v>
      </c>
      <c r="K38" s="188">
        <v>1.7801894526421123E-144</v>
      </c>
      <c r="L38" s="188">
        <v>7.726664739217963E-2</v>
      </c>
      <c r="M38" s="188">
        <v>8.0836201888292505E-2</v>
      </c>
      <c r="N38" s="188">
        <v>7.726664739217963E-2</v>
      </c>
      <c r="O38" s="188">
        <v>8.0836201888292505E-2</v>
      </c>
      <c r="AB38" s="147"/>
      <c r="AC38" s="147"/>
      <c r="AD38" s="147"/>
    </row>
    <row r="39" spans="2:30" ht="15" customHeight="1" thickBot="1">
      <c r="B39" s="47">
        <v>1988.2</v>
      </c>
      <c r="C39" s="48">
        <v>0.12475</v>
      </c>
      <c r="D39" s="48">
        <v>9.0614285714285744E-2</v>
      </c>
      <c r="E39" s="50">
        <f t="shared" si="0"/>
        <v>3.4135714285714255E-2</v>
      </c>
      <c r="G39" s="184" t="s">
        <v>90</v>
      </c>
      <c r="H39" s="190">
        <v>-0.43053260552858386</v>
      </c>
      <c r="I39" s="191">
        <v>1.3297920482961613E-2</v>
      </c>
      <c r="J39" s="191">
        <v>-32.375934724547164</v>
      </c>
      <c r="K39" s="190">
        <v>4.3498358112710502E-75</v>
      </c>
      <c r="L39" s="190">
        <v>-0.45678073472364311</v>
      </c>
      <c r="M39" s="190">
        <v>-0.4042844763335246</v>
      </c>
      <c r="N39" s="190">
        <v>-0.45678073472364311</v>
      </c>
      <c r="O39" s="190">
        <v>-0.4042844763335246</v>
      </c>
      <c r="AB39" s="147"/>
      <c r="AC39" s="147"/>
      <c r="AD39" s="147"/>
    </row>
    <row r="40" spans="2:30" ht="15" customHeight="1">
      <c r="B40" s="47">
        <v>1988.3</v>
      </c>
      <c r="C40" s="48">
        <v>0.12787777777777778</v>
      </c>
      <c r="D40" s="48">
        <v>9.1754687500000043E-2</v>
      </c>
      <c r="E40" s="50">
        <f t="shared" si="0"/>
        <v>3.6123090277777742E-2</v>
      </c>
      <c r="G40" s="51"/>
      <c r="H40" s="51"/>
      <c r="I40" s="51"/>
      <c r="J40" s="51"/>
      <c r="K40" s="51"/>
      <c r="L40" s="51"/>
      <c r="M40" s="51"/>
      <c r="N40" s="51"/>
      <c r="O40" s="51"/>
      <c r="AB40" s="147"/>
      <c r="AC40" s="147"/>
      <c r="AD40" s="147"/>
    </row>
    <row r="41" spans="2:30" ht="15" customHeight="1">
      <c r="B41" s="47">
        <v>1988.4</v>
      </c>
      <c r="C41" s="48">
        <v>0.12977272727272726</v>
      </c>
      <c r="D41" s="48">
        <v>8.9730158730158771E-2</v>
      </c>
      <c r="E41" s="50">
        <f t="shared" si="0"/>
        <v>4.0042568542568491E-2</v>
      </c>
      <c r="G41" s="51"/>
      <c r="H41" s="51"/>
      <c r="I41" s="51"/>
      <c r="J41" s="51"/>
      <c r="K41" s="51"/>
      <c r="L41" s="51"/>
      <c r="M41" s="51"/>
      <c r="N41" s="51"/>
      <c r="O41" s="51"/>
      <c r="AB41" s="147"/>
      <c r="AC41" s="147"/>
      <c r="AD41" s="147"/>
    </row>
    <row r="42" spans="2:30" ht="15" customHeight="1" thickBot="1">
      <c r="B42" s="47">
        <v>1989.1</v>
      </c>
      <c r="C42" s="48">
        <v>0.12992500000000001</v>
      </c>
      <c r="D42" s="48">
        <v>9.036129032258064E-2</v>
      </c>
      <c r="E42" s="50">
        <f t="shared" si="0"/>
        <v>3.9563709677419373E-2</v>
      </c>
      <c r="G42" s="51"/>
      <c r="H42" s="51"/>
      <c r="I42" s="51"/>
      <c r="J42" s="44" t="s">
        <v>215</v>
      </c>
      <c r="K42" s="44" t="s">
        <v>216</v>
      </c>
      <c r="L42" s="44" t="s">
        <v>217</v>
      </c>
      <c r="M42" s="51"/>
      <c r="N42" s="51"/>
      <c r="O42" s="51"/>
      <c r="AB42" s="147"/>
      <c r="AC42" s="147"/>
      <c r="AD42" s="147"/>
    </row>
    <row r="43" spans="2:30" ht="15" customHeight="1">
      <c r="B43" s="47">
        <v>1989.2</v>
      </c>
      <c r="C43" s="48">
        <v>0.13250000000000001</v>
      </c>
      <c r="D43" s="48">
        <v>8.69796875E-2</v>
      </c>
      <c r="E43" s="50">
        <f t="shared" si="0"/>
        <v>4.5520312500000007E-2</v>
      </c>
      <c r="G43" s="52"/>
      <c r="H43" s="52"/>
      <c r="I43" s="52"/>
      <c r="J43" s="53" t="s">
        <v>1236</v>
      </c>
      <c r="K43" s="53"/>
      <c r="L43" s="53"/>
      <c r="AB43" s="147"/>
      <c r="AC43" s="147"/>
      <c r="AD43" s="147"/>
    </row>
    <row r="44" spans="2:30" ht="15" customHeight="1">
      <c r="B44" s="47">
        <v>1989.3</v>
      </c>
      <c r="C44" s="48">
        <v>0.12557142857142858</v>
      </c>
      <c r="D44" s="48">
        <v>8.1187301587301586E-2</v>
      </c>
      <c r="E44" s="50">
        <f t="shared" si="0"/>
        <v>4.4384126984126998E-2</v>
      </c>
      <c r="G44" s="54"/>
      <c r="H44" s="54"/>
      <c r="I44" s="54"/>
      <c r="J44" s="55" t="s">
        <v>1237</v>
      </c>
      <c r="K44" s="55" t="s">
        <v>145</v>
      </c>
      <c r="L44" s="55"/>
      <c r="AB44" s="147"/>
      <c r="AC44" s="147"/>
      <c r="AD44" s="147"/>
    </row>
    <row r="45" spans="2:30" ht="15" customHeight="1">
      <c r="B45" s="47">
        <v>1989.4</v>
      </c>
      <c r="C45" s="48">
        <v>0.12936874999999998</v>
      </c>
      <c r="D45" s="48">
        <v>7.9334374999999999E-2</v>
      </c>
      <c r="E45" s="50">
        <f t="shared" si="0"/>
        <v>5.0034374999999978E-2</v>
      </c>
      <c r="G45" s="56"/>
      <c r="H45" s="56"/>
      <c r="I45" s="56"/>
      <c r="J45" s="57" t="s">
        <v>84</v>
      </c>
      <c r="K45" s="57" t="s">
        <v>147</v>
      </c>
      <c r="L45" s="57" t="s">
        <v>148</v>
      </c>
      <c r="AB45" s="147"/>
      <c r="AC45" s="147"/>
      <c r="AD45" s="147"/>
    </row>
    <row r="46" spans="2:30" ht="15" customHeight="1">
      <c r="B46" s="47">
        <v>1990.1</v>
      </c>
      <c r="C46" s="48">
        <v>0.1268</v>
      </c>
      <c r="D46" s="48">
        <v>8.4376190476190494E-2</v>
      </c>
      <c r="E46" s="50">
        <f t="shared" si="0"/>
        <v>4.2423809523809503E-2</v>
      </c>
      <c r="G46" s="54"/>
      <c r="H46" s="54"/>
      <c r="I46" s="54"/>
      <c r="J46" s="54"/>
      <c r="K46" s="54"/>
      <c r="L46" s="54"/>
      <c r="AB46" s="147"/>
      <c r="AC46" s="147"/>
      <c r="AD46" s="147"/>
    </row>
    <row r="47" spans="2:30" ht="15" customHeight="1">
      <c r="B47" s="47">
        <v>1990.2</v>
      </c>
      <c r="C47" s="48">
        <v>0.12807142857142859</v>
      </c>
      <c r="D47" s="48">
        <v>8.6479365079365086E-2</v>
      </c>
      <c r="E47" s="50">
        <f t="shared" si="0"/>
        <v>4.15920634920635E-2</v>
      </c>
      <c r="G47" s="54" t="s">
        <v>151</v>
      </c>
      <c r="H47" s="54"/>
      <c r="I47" s="54"/>
      <c r="J47" s="58">
        <f>'AEB-5 CAPM&amp;ECAPM'!D11</f>
        <v>4.5033333333333328E-2</v>
      </c>
      <c r="K47" s="58">
        <f>$H$38+($H$39*J47)</f>
        <v>5.966310630459884E-2</v>
      </c>
      <c r="L47" s="58">
        <f>J47+K47</f>
        <v>0.10469643963793217</v>
      </c>
      <c r="AB47" s="147"/>
      <c r="AC47" s="147"/>
      <c r="AD47" s="147"/>
    </row>
    <row r="48" spans="2:30" ht="15" customHeight="1">
      <c r="B48" s="47">
        <v>1990.3</v>
      </c>
      <c r="C48" s="48">
        <v>0.12364285714285714</v>
      </c>
      <c r="D48" s="48">
        <v>8.7915873015873003E-2</v>
      </c>
      <c r="E48" s="50">
        <f t="shared" si="0"/>
        <v>3.5726984126984135E-2</v>
      </c>
      <c r="G48" s="59" t="s">
        <v>1462</v>
      </c>
      <c r="H48" s="54"/>
      <c r="I48" s="54"/>
      <c r="J48" s="58">
        <f>'AEB-5 CAPM&amp;ECAPM'!D37</f>
        <v>4.3200000000000002E-2</v>
      </c>
      <c r="K48" s="58">
        <f>$H$38+($H$39*J48)</f>
        <v>6.0452416081401242E-2</v>
      </c>
      <c r="L48" s="58">
        <f>J48+K48</f>
        <v>0.10365241608140124</v>
      </c>
      <c r="AB48" s="147"/>
      <c r="AC48" s="147"/>
      <c r="AD48" s="147"/>
    </row>
    <row r="49" spans="1:30" ht="15" customHeight="1">
      <c r="B49" s="47">
        <v>1990.4</v>
      </c>
      <c r="C49" s="48">
        <v>0.12778571428571431</v>
      </c>
      <c r="D49" s="48">
        <v>8.557846153846152E-2</v>
      </c>
      <c r="E49" s="50">
        <f t="shared" si="0"/>
        <v>4.2207252747252788E-2</v>
      </c>
      <c r="G49" s="56" t="s">
        <v>1463</v>
      </c>
      <c r="H49" s="56"/>
      <c r="I49" s="56"/>
      <c r="J49" s="60">
        <f>'AEB-5 CAPM&amp;ECAPM'!D63</f>
        <v>4.2999999999999997E-2</v>
      </c>
      <c r="K49" s="60">
        <f>$H$38+($H$39*J49)</f>
        <v>6.0538522602506958E-2</v>
      </c>
      <c r="L49" s="60">
        <f>J49+K49</f>
        <v>0.10353852260250695</v>
      </c>
      <c r="AB49" s="147"/>
      <c r="AC49" s="147"/>
      <c r="AD49" s="147"/>
    </row>
    <row r="50" spans="1:30" ht="15" customHeight="1" thickBot="1">
      <c r="B50" s="47">
        <v>1991.1</v>
      </c>
      <c r="C50" s="48">
        <v>0.12694</v>
      </c>
      <c r="D50" s="48">
        <v>8.2024193548387081E-2</v>
      </c>
      <c r="E50" s="50">
        <f t="shared" si="0"/>
        <v>4.4915806451612916E-2</v>
      </c>
      <c r="G50" s="61" t="s">
        <v>155</v>
      </c>
      <c r="H50" s="61"/>
      <c r="I50" s="61"/>
      <c r="J50" s="62"/>
      <c r="K50" s="62"/>
      <c r="L50" s="62">
        <f>AVERAGE(L47:L49)</f>
        <v>0.10396245944061346</v>
      </c>
      <c r="AB50" s="147"/>
      <c r="AC50" s="147"/>
      <c r="AD50" s="147"/>
    </row>
    <row r="51" spans="1:30" ht="15" customHeight="1">
      <c r="B51" s="47">
        <v>1991.2</v>
      </c>
      <c r="C51" s="48">
        <v>0.12530000000000002</v>
      </c>
      <c r="D51" s="48">
        <v>8.3114062500000016E-2</v>
      </c>
      <c r="E51" s="50">
        <f t="shared" si="0"/>
        <v>4.2185937500000006E-2</v>
      </c>
      <c r="AB51" s="147"/>
      <c r="AC51" s="147"/>
      <c r="AD51" s="147"/>
    </row>
    <row r="52" spans="1:30" ht="15" customHeight="1">
      <c r="B52" s="47">
        <v>1991.3</v>
      </c>
      <c r="C52" s="48">
        <v>0.12431249999999999</v>
      </c>
      <c r="D52" s="48">
        <v>8.1885937500000019E-2</v>
      </c>
      <c r="E52" s="50">
        <f t="shared" si="0"/>
        <v>4.2426562499999973E-2</v>
      </c>
      <c r="G52" s="4" t="s">
        <v>15</v>
      </c>
      <c r="AB52" s="147"/>
      <c r="AC52" s="147"/>
      <c r="AD52" s="147"/>
    </row>
    <row r="53" spans="1:30" ht="15" customHeight="1">
      <c r="B53" s="47">
        <v>1991.4</v>
      </c>
      <c r="C53" s="48">
        <v>0.12330769230769233</v>
      </c>
      <c r="D53" s="48">
        <v>7.8533846153846162E-2</v>
      </c>
      <c r="E53" s="50">
        <f t="shared" si="0"/>
        <v>4.4773846153846164E-2</v>
      </c>
      <c r="G53" s="4" t="s">
        <v>1293</v>
      </c>
      <c r="AB53" s="147"/>
      <c r="AC53" s="147"/>
      <c r="AD53" s="147"/>
    </row>
    <row r="54" spans="1:30" ht="15" customHeight="1">
      <c r="B54" s="47">
        <v>1992.1</v>
      </c>
      <c r="C54" s="48">
        <v>0.12418</v>
      </c>
      <c r="D54" s="48">
        <v>7.8050793650793662E-2</v>
      </c>
      <c r="E54" s="50">
        <f t="shared" si="0"/>
        <v>4.6129206349206336E-2</v>
      </c>
      <c r="G54" s="4" t="s">
        <v>1238</v>
      </c>
      <c r="AB54" s="147"/>
      <c r="AC54" s="147"/>
      <c r="AD54" s="147"/>
    </row>
    <row r="55" spans="1:30" ht="15" customHeight="1">
      <c r="A55" s="201"/>
      <c r="B55" s="200">
        <v>1992.2</v>
      </c>
      <c r="C55" s="48">
        <v>0.11983333333333333</v>
      </c>
      <c r="D55" s="48">
        <v>7.8976190476190478E-2</v>
      </c>
      <c r="E55" s="50">
        <f t="shared" si="0"/>
        <v>4.0857142857142856E-2</v>
      </c>
      <c r="G55" s="4" t="s">
        <v>161</v>
      </c>
      <c r="AB55" s="147"/>
      <c r="AC55" s="147"/>
      <c r="AD55" s="147"/>
    </row>
    <row r="56" spans="1:30" ht="15" customHeight="1">
      <c r="A56" s="201"/>
      <c r="B56" s="200">
        <v>1992.3</v>
      </c>
      <c r="C56" s="48">
        <v>0.11865999999999999</v>
      </c>
      <c r="D56" s="48">
        <v>7.4456250000000002E-2</v>
      </c>
      <c r="E56" s="50">
        <f t="shared" si="0"/>
        <v>4.4203749999999986E-2</v>
      </c>
      <c r="G56" s="4" t="s">
        <v>1294</v>
      </c>
      <c r="AB56" s="147"/>
      <c r="AC56" s="147"/>
      <c r="AD56" s="147"/>
    </row>
    <row r="57" spans="1:30" ht="15" customHeight="1">
      <c r="A57" s="201"/>
      <c r="B57" s="200">
        <v>1992.4</v>
      </c>
      <c r="C57" s="48">
        <v>0.11939999999999999</v>
      </c>
      <c r="D57" s="48">
        <v>7.5235937499999989E-2</v>
      </c>
      <c r="E57" s="50">
        <f t="shared" si="0"/>
        <v>4.4164062500000004E-2</v>
      </c>
      <c r="G57" s="63" t="s">
        <v>1295</v>
      </c>
      <c r="H57" s="63"/>
      <c r="I57" s="63"/>
      <c r="J57" s="63"/>
      <c r="AB57" s="147"/>
      <c r="AC57" s="147"/>
      <c r="AD57" s="147"/>
    </row>
    <row r="58" spans="1:30" ht="15" customHeight="1">
      <c r="A58" s="201"/>
      <c r="B58" s="200">
        <v>1993.1</v>
      </c>
      <c r="C58" s="48">
        <v>0.11749999999999999</v>
      </c>
      <c r="D58" s="48">
        <v>7.0716129032258074E-2</v>
      </c>
      <c r="E58" s="50">
        <f t="shared" si="0"/>
        <v>4.678387096774192E-2</v>
      </c>
      <c r="G58" s="63" t="s">
        <v>1282</v>
      </c>
      <c r="AB58" s="147"/>
      <c r="AC58" s="147"/>
      <c r="AD58" s="147"/>
    </row>
    <row r="59" spans="1:30" ht="15" customHeight="1">
      <c r="A59" s="201"/>
      <c r="B59" s="202" t="s">
        <v>91</v>
      </c>
      <c r="C59" s="48">
        <v>0.11708333333333333</v>
      </c>
      <c r="D59" s="48">
        <v>6.8584126984127011E-2</v>
      </c>
      <c r="E59" s="50">
        <f t="shared" si="0"/>
        <v>4.849920634920632E-2</v>
      </c>
      <c r="G59" s="4" t="s">
        <v>1188</v>
      </c>
      <c r="AB59" s="147"/>
      <c r="AC59" s="147"/>
      <c r="AD59" s="147"/>
    </row>
    <row r="60" spans="1:30" ht="15" customHeight="1">
      <c r="A60" s="201"/>
      <c r="B60" s="202" t="s">
        <v>92</v>
      </c>
      <c r="C60" s="48">
        <v>0.11387499999999999</v>
      </c>
      <c r="D60" s="48">
        <v>6.3154687500000015E-2</v>
      </c>
      <c r="E60" s="50">
        <f t="shared" si="0"/>
        <v>5.0720312499999975E-2</v>
      </c>
      <c r="G60" s="4" t="str">
        <f>"[8] Equals "&amp;TEXT(H38,"0.000000")&amp;" + ("&amp;TEXT(H39,"0.000000")&amp;" x Column [7])"</f>
        <v>[8] Equals 0.079051 + (-0.430533 x Column [7])</v>
      </c>
      <c r="AB60" s="147"/>
      <c r="AC60" s="147"/>
      <c r="AD60" s="147"/>
    </row>
    <row r="61" spans="1:30" ht="15" customHeight="1">
      <c r="A61" s="201"/>
      <c r="B61" s="202" t="s">
        <v>93</v>
      </c>
      <c r="C61" s="48">
        <v>0.11155555555555557</v>
      </c>
      <c r="D61" s="48">
        <v>6.1351562500000012E-2</v>
      </c>
      <c r="E61" s="50">
        <f t="shared" si="0"/>
        <v>5.0203993055555562E-2</v>
      </c>
      <c r="G61" s="4" t="s">
        <v>166</v>
      </c>
      <c r="AB61" s="147"/>
      <c r="AC61" s="147"/>
      <c r="AD61" s="147"/>
    </row>
    <row r="62" spans="1:30" ht="15" customHeight="1">
      <c r="A62" s="201"/>
      <c r="B62" s="202" t="s">
        <v>94</v>
      </c>
      <c r="C62" s="48">
        <v>0.11120000000000001</v>
      </c>
      <c r="D62" s="48">
        <v>6.5758730158730155E-2</v>
      </c>
      <c r="E62" s="50">
        <f t="shared" si="0"/>
        <v>4.5441269841269852E-2</v>
      </c>
      <c r="AB62" s="147"/>
      <c r="AC62" s="147"/>
      <c r="AD62" s="147"/>
    </row>
    <row r="63" spans="1:30" ht="15" customHeight="1">
      <c r="A63" s="201"/>
      <c r="B63" s="202" t="s">
        <v>95</v>
      </c>
      <c r="C63" s="48">
        <v>0.10834999999999999</v>
      </c>
      <c r="D63" s="48">
        <v>7.3622580645161306E-2</v>
      </c>
      <c r="E63" s="50">
        <f t="shared" si="0"/>
        <v>3.4727419354838682E-2</v>
      </c>
      <c r="AB63" s="147"/>
      <c r="AC63" s="147"/>
      <c r="AD63" s="147"/>
    </row>
    <row r="64" spans="1:30" ht="15" customHeight="1">
      <c r="A64" s="201"/>
      <c r="B64" s="202" t="s">
        <v>96</v>
      </c>
      <c r="C64" s="48">
        <v>0.10866666666666668</v>
      </c>
      <c r="D64" s="48">
        <v>7.5893750000000024E-2</v>
      </c>
      <c r="E64" s="50">
        <f t="shared" si="0"/>
        <v>3.2772916666666652E-2</v>
      </c>
      <c r="AB64" s="147"/>
      <c r="AC64" s="147"/>
      <c r="AD64" s="147"/>
    </row>
    <row r="65" spans="1:30" ht="15" customHeight="1">
      <c r="A65" s="201"/>
      <c r="B65" s="202" t="s">
        <v>97</v>
      </c>
      <c r="C65" s="48">
        <v>0.11525833333333334</v>
      </c>
      <c r="D65" s="48">
        <v>7.9633333333333334E-2</v>
      </c>
      <c r="E65" s="50">
        <f t="shared" si="0"/>
        <v>3.5625000000000004E-2</v>
      </c>
      <c r="AB65" s="147"/>
      <c r="AC65" s="147"/>
      <c r="AD65" s="147"/>
    </row>
    <row r="66" spans="1:30" ht="15" customHeight="1">
      <c r="A66" s="201"/>
      <c r="B66" s="202" t="s">
        <v>98</v>
      </c>
      <c r="C66" s="48">
        <v>0.11</v>
      </c>
      <c r="D66" s="48">
        <v>6.9422222222222191E-2</v>
      </c>
      <c r="E66" s="50">
        <f t="shared" si="0"/>
        <v>4.057777777777781E-2</v>
      </c>
      <c r="AB66" s="147"/>
      <c r="AC66" s="147"/>
      <c r="AD66" s="147"/>
    </row>
    <row r="67" spans="1:30" ht="15" customHeight="1">
      <c r="A67" s="201"/>
      <c r="B67" s="202" t="s">
        <v>99</v>
      </c>
      <c r="C67" s="48">
        <v>0.11066666666666668</v>
      </c>
      <c r="D67" s="48">
        <v>6.7173015873015857E-2</v>
      </c>
      <c r="E67" s="50">
        <f t="shared" si="0"/>
        <v>4.349365079365082E-2</v>
      </c>
      <c r="AB67" s="147"/>
      <c r="AC67" s="147"/>
      <c r="AD67" s="147"/>
    </row>
    <row r="68" spans="1:30" ht="15" customHeight="1">
      <c r="A68" s="201"/>
      <c r="B68" s="202" t="s">
        <v>100</v>
      </c>
      <c r="C68" s="48">
        <v>0.11606666666666667</v>
      </c>
      <c r="D68" s="48">
        <v>6.2390476190476205E-2</v>
      </c>
      <c r="E68" s="50">
        <f t="shared" si="0"/>
        <v>5.3676190476190461E-2</v>
      </c>
      <c r="AB68" s="147"/>
      <c r="AC68" s="147"/>
      <c r="AD68" s="147"/>
    </row>
    <row r="69" spans="1:30" ht="15" customHeight="1">
      <c r="A69" s="201"/>
      <c r="B69" s="202" t="s">
        <v>101</v>
      </c>
      <c r="C69" s="48">
        <v>0.11449999999999999</v>
      </c>
      <c r="D69" s="48">
        <v>6.2916923076923065E-2</v>
      </c>
      <c r="E69" s="50">
        <f t="shared" si="0"/>
        <v>5.1583076923076926E-2</v>
      </c>
      <c r="AB69" s="147"/>
      <c r="AC69" s="147"/>
      <c r="AD69" s="147"/>
    </row>
    <row r="70" spans="1:30" ht="15" customHeight="1">
      <c r="A70" s="201"/>
      <c r="B70" s="202" t="s">
        <v>103</v>
      </c>
      <c r="C70" s="48">
        <v>0.10875</v>
      </c>
      <c r="D70" s="48">
        <v>6.9215384615384609E-2</v>
      </c>
      <c r="E70" s="50">
        <f t="shared" si="0"/>
        <v>3.953461538461539E-2</v>
      </c>
      <c r="AB70" s="147"/>
      <c r="AC70" s="147"/>
      <c r="AD70" s="147"/>
    </row>
    <row r="71" spans="1:30" ht="15" customHeight="1">
      <c r="A71" s="201"/>
      <c r="B71" s="202" t="s">
        <v>104</v>
      </c>
      <c r="C71" s="48">
        <v>0.1125</v>
      </c>
      <c r="D71" s="48">
        <v>6.9672727272727275E-2</v>
      </c>
      <c r="E71" s="50">
        <f t="shared" ref="E71:E134" si="1">C71-D71</f>
        <v>4.2827272727272728E-2</v>
      </c>
      <c r="AB71" s="147"/>
      <c r="AC71" s="147"/>
      <c r="AD71" s="147"/>
    </row>
    <row r="72" spans="1:30" ht="15" customHeight="1">
      <c r="A72" s="201"/>
      <c r="B72" s="202" t="s">
        <v>106</v>
      </c>
      <c r="C72" s="48">
        <v>0.11194285714285715</v>
      </c>
      <c r="D72" s="48">
        <v>6.6199999999999995E-2</v>
      </c>
      <c r="E72" s="50">
        <f t="shared" si="1"/>
        <v>4.5742857142857155E-2</v>
      </c>
      <c r="AB72" s="147"/>
      <c r="AC72" s="147"/>
      <c r="AD72" s="147"/>
    </row>
    <row r="73" spans="1:30" ht="15" customHeight="1">
      <c r="A73" s="201"/>
      <c r="B73" s="202" t="s">
        <v>108</v>
      </c>
      <c r="C73" s="48">
        <v>0.11307142857142857</v>
      </c>
      <c r="D73" s="48">
        <v>6.8153124999999995E-2</v>
      </c>
      <c r="E73" s="50">
        <f t="shared" si="1"/>
        <v>4.4918303571428578E-2</v>
      </c>
      <c r="AB73" s="147"/>
      <c r="AC73" s="147"/>
      <c r="AD73" s="147"/>
    </row>
    <row r="74" spans="1:30" ht="15" customHeight="1">
      <c r="A74" s="201"/>
      <c r="B74" s="202" t="s">
        <v>110</v>
      </c>
      <c r="C74" s="48">
        <v>0.11699999999999999</v>
      </c>
      <c r="D74" s="48">
        <v>6.9369230769230752E-2</v>
      </c>
      <c r="E74" s="50">
        <f t="shared" si="1"/>
        <v>4.763076923076924E-2</v>
      </c>
      <c r="AB74" s="147"/>
      <c r="AC74" s="147"/>
      <c r="AD74" s="147"/>
    </row>
    <row r="75" spans="1:30" ht="15" customHeight="1">
      <c r="A75" s="201"/>
      <c r="B75" s="202" t="s">
        <v>112</v>
      </c>
      <c r="C75" s="48">
        <v>0.12</v>
      </c>
      <c r="D75" s="48">
        <v>6.5304545454545448E-2</v>
      </c>
      <c r="E75" s="50">
        <f t="shared" si="1"/>
        <v>5.4695454545454547E-2</v>
      </c>
      <c r="AB75" s="147"/>
      <c r="AC75" s="147"/>
      <c r="AD75" s="147"/>
    </row>
    <row r="76" spans="1:30" ht="15" customHeight="1">
      <c r="A76" s="201"/>
      <c r="B76" s="202" t="s">
        <v>114</v>
      </c>
      <c r="C76" s="48">
        <v>0.10916666666666668</v>
      </c>
      <c r="D76" s="48">
        <v>6.1478125000000015E-2</v>
      </c>
      <c r="E76" s="50">
        <f t="shared" si="1"/>
        <v>4.768854166666666E-2</v>
      </c>
      <c r="AB76" s="147"/>
      <c r="AC76" s="147"/>
      <c r="AD76" s="147"/>
    </row>
    <row r="77" spans="1:30" ht="15" customHeight="1">
      <c r="A77" s="201"/>
      <c r="B77" s="202" t="s">
        <v>116</v>
      </c>
      <c r="C77" s="48">
        <v>0.11366666666666665</v>
      </c>
      <c r="D77" s="48">
        <v>5.8490769230769207E-2</v>
      </c>
      <c r="E77" s="50">
        <f t="shared" si="1"/>
        <v>5.5175897435897445E-2</v>
      </c>
      <c r="AB77" s="147"/>
      <c r="AC77" s="147"/>
      <c r="AD77" s="147"/>
    </row>
    <row r="78" spans="1:30" ht="15" customHeight="1">
      <c r="A78" s="201"/>
      <c r="B78" s="202" t="s">
        <v>118</v>
      </c>
      <c r="C78" s="48">
        <v>0.11409999999999999</v>
      </c>
      <c r="D78" s="48">
        <v>5.4762121212121241E-2</v>
      </c>
      <c r="E78" s="50">
        <f t="shared" si="1"/>
        <v>5.9337878787878752E-2</v>
      </c>
      <c r="AB78" s="147"/>
      <c r="AC78" s="147"/>
      <c r="AD78" s="147"/>
    </row>
    <row r="79" spans="1:30" ht="15" customHeight="1">
      <c r="A79" s="201"/>
      <c r="B79" s="202" t="s">
        <v>124</v>
      </c>
      <c r="C79" s="48">
        <v>0.1169</v>
      </c>
      <c r="D79" s="48">
        <v>5.1071212121212115E-2</v>
      </c>
      <c r="E79" s="50">
        <f t="shared" si="1"/>
        <v>6.5828787878787889E-2</v>
      </c>
      <c r="AB79" s="147"/>
      <c r="AC79" s="147"/>
      <c r="AD79" s="147"/>
    </row>
    <row r="80" spans="1:30" ht="15" customHeight="1">
      <c r="A80" s="201"/>
      <c r="B80" s="202" t="s">
        <v>126</v>
      </c>
      <c r="C80" s="48">
        <v>0.10816666666666667</v>
      </c>
      <c r="D80" s="48">
        <v>5.3734374999999994E-2</v>
      </c>
      <c r="E80" s="50">
        <f t="shared" si="1"/>
        <v>5.4432291666666681E-2</v>
      </c>
      <c r="AB80" s="147"/>
      <c r="AC80" s="147"/>
      <c r="AD80" s="147"/>
    </row>
    <row r="81" spans="1:30" ht="15" customHeight="1">
      <c r="A81" s="201"/>
      <c r="B81" s="202" t="s">
        <v>128</v>
      </c>
      <c r="C81" s="48">
        <v>0.1125</v>
      </c>
      <c r="D81" s="48">
        <v>5.7987692307692289E-2</v>
      </c>
      <c r="E81" s="50">
        <f t="shared" si="1"/>
        <v>5.4512307692307714E-2</v>
      </c>
      <c r="AB81" s="147"/>
      <c r="AC81" s="147"/>
      <c r="AD81" s="147"/>
    </row>
    <row r="82" spans="1:30" ht="15" customHeight="1">
      <c r="A82" s="201"/>
      <c r="B82" s="202" t="s">
        <v>130</v>
      </c>
      <c r="C82" s="48">
        <v>0.10375</v>
      </c>
      <c r="D82" s="48">
        <v>6.2559090909090911E-2</v>
      </c>
      <c r="E82" s="50">
        <f t="shared" si="1"/>
        <v>4.1190909090909084E-2</v>
      </c>
      <c r="AB82" s="147"/>
      <c r="AC82" s="147"/>
      <c r="AD82" s="147"/>
    </row>
    <row r="83" spans="1:30" ht="15" customHeight="1">
      <c r="A83" s="201"/>
      <c r="B83" s="202" t="s">
        <v>138</v>
      </c>
      <c r="C83" s="48">
        <v>0.10655000000000001</v>
      </c>
      <c r="D83" s="48">
        <v>6.2958461538461505E-2</v>
      </c>
      <c r="E83" s="50">
        <f t="shared" si="1"/>
        <v>4.3591538461538501E-2</v>
      </c>
      <c r="AB83" s="147"/>
      <c r="AC83" s="147"/>
      <c r="AD83" s="147"/>
    </row>
    <row r="84" spans="1:30" ht="15" customHeight="1">
      <c r="A84" s="201"/>
      <c r="B84" s="202" t="s">
        <v>140</v>
      </c>
      <c r="C84" s="48">
        <v>0.11033333333333334</v>
      </c>
      <c r="D84" s="48">
        <v>5.9787692307692299E-2</v>
      </c>
      <c r="E84" s="50">
        <f t="shared" si="1"/>
        <v>5.054564102564104E-2</v>
      </c>
      <c r="AB84" s="147"/>
      <c r="AC84" s="147"/>
      <c r="AD84" s="147"/>
    </row>
    <row r="85" spans="1:30" ht="15" customHeight="1">
      <c r="A85" s="201"/>
      <c r="B85" s="202" t="s">
        <v>141</v>
      </c>
      <c r="C85" s="48">
        <v>0.11334</v>
      </c>
      <c r="D85" s="48">
        <v>5.7932307692307693E-2</v>
      </c>
      <c r="E85" s="50">
        <f t="shared" si="1"/>
        <v>5.5407692307692304E-2</v>
      </c>
      <c r="AB85" s="147"/>
      <c r="AC85" s="147"/>
      <c r="AD85" s="147"/>
    </row>
    <row r="86" spans="1:30" ht="15" customHeight="1">
      <c r="A86" s="201"/>
      <c r="B86" s="202" t="s">
        <v>142</v>
      </c>
      <c r="C86" s="48">
        <v>0.121</v>
      </c>
      <c r="D86" s="48">
        <v>5.6907692307692305E-2</v>
      </c>
      <c r="E86" s="50">
        <f t="shared" si="1"/>
        <v>6.4092307692307698E-2</v>
      </c>
      <c r="AB86" s="147"/>
      <c r="AC86" s="147"/>
      <c r="AD86" s="147"/>
    </row>
    <row r="87" spans="1:30" ht="15" customHeight="1">
      <c r="A87" s="201"/>
      <c r="B87" s="202" t="s">
        <v>143</v>
      </c>
      <c r="C87" s="48">
        <v>0.11375</v>
      </c>
      <c r="D87" s="48">
        <v>5.4464615384615396E-2</v>
      </c>
      <c r="E87" s="50">
        <f t="shared" si="1"/>
        <v>5.9285384615384608E-2</v>
      </c>
      <c r="AB87" s="147"/>
      <c r="AC87" s="147"/>
      <c r="AD87" s="147"/>
    </row>
    <row r="88" spans="1:30" ht="15" customHeight="1">
      <c r="A88" s="201"/>
      <c r="B88" s="202" t="s">
        <v>144</v>
      </c>
      <c r="C88" s="48">
        <v>0.1075</v>
      </c>
      <c r="D88" s="48">
        <v>5.7016923076923069E-2</v>
      </c>
      <c r="E88" s="50">
        <f t="shared" si="1"/>
        <v>5.0483076923076929E-2</v>
      </c>
      <c r="AB88" s="147"/>
      <c r="AC88" s="147"/>
      <c r="AD88" s="147"/>
    </row>
    <row r="89" spans="1:30" ht="15" customHeight="1">
      <c r="A89" s="201"/>
      <c r="B89" s="202" t="s">
        <v>146</v>
      </c>
      <c r="C89" s="48">
        <v>0.10650000000000001</v>
      </c>
      <c r="D89" s="48">
        <v>5.3019696969696967E-2</v>
      </c>
      <c r="E89" s="50">
        <f t="shared" si="1"/>
        <v>5.3480303030303045E-2</v>
      </c>
      <c r="AB89" s="147"/>
      <c r="AC89" s="147"/>
      <c r="AD89" s="147"/>
    </row>
    <row r="90" spans="1:30" ht="15" customHeight="1">
      <c r="A90" s="201"/>
      <c r="B90" s="202" t="s">
        <v>149</v>
      </c>
      <c r="C90" s="48">
        <v>0.10666666666666667</v>
      </c>
      <c r="D90" s="48">
        <v>5.51578125E-2</v>
      </c>
      <c r="E90" s="50">
        <f t="shared" si="1"/>
        <v>5.1508854166666673E-2</v>
      </c>
      <c r="AB90" s="147"/>
      <c r="AC90" s="147"/>
      <c r="AD90" s="147"/>
    </row>
    <row r="91" spans="1:30" ht="15" customHeight="1">
      <c r="A91" s="201"/>
      <c r="B91" s="202" t="s">
        <v>150</v>
      </c>
      <c r="C91" s="48">
        <v>0.116425</v>
      </c>
      <c r="D91" s="48">
        <v>5.6164615384615389E-2</v>
      </c>
      <c r="E91" s="50">
        <f t="shared" si="1"/>
        <v>6.0260384615384611E-2</v>
      </c>
      <c r="AB91" s="147"/>
      <c r="AC91" s="147"/>
      <c r="AD91" s="147"/>
    </row>
    <row r="92" spans="1:30" ht="15" customHeight="1">
      <c r="A92" s="201"/>
      <c r="B92" s="202" t="s">
        <v>152</v>
      </c>
      <c r="C92" s="48">
        <v>0.11499999999999999</v>
      </c>
      <c r="D92" s="48">
        <v>5.0868181818181826E-2</v>
      </c>
      <c r="E92" s="50">
        <f t="shared" si="1"/>
        <v>6.4131818181818165E-2</v>
      </c>
      <c r="AB92" s="147"/>
      <c r="AC92" s="147"/>
      <c r="AD92" s="147"/>
    </row>
    <row r="93" spans="1:30" ht="15" customHeight="1">
      <c r="A93" s="201"/>
      <c r="B93" s="202" t="s">
        <v>153</v>
      </c>
      <c r="C93" s="48">
        <v>0.1101111111111111</v>
      </c>
      <c r="D93" s="48">
        <v>4.9322727272727268E-2</v>
      </c>
      <c r="E93" s="50">
        <f t="shared" si="1"/>
        <v>6.0788383838383836E-2</v>
      </c>
      <c r="AB93" s="147"/>
      <c r="AC93" s="147"/>
      <c r="AD93" s="147"/>
    </row>
    <row r="94" spans="1:30" ht="15" customHeight="1">
      <c r="A94" s="201"/>
      <c r="B94" s="202" t="s">
        <v>154</v>
      </c>
      <c r="C94" s="48">
        <v>0.11381999999999999</v>
      </c>
      <c r="D94" s="48">
        <v>4.8518749999999999E-2</v>
      </c>
      <c r="E94" s="50">
        <f t="shared" si="1"/>
        <v>6.5301249999999991E-2</v>
      </c>
      <c r="AB94" s="147"/>
      <c r="AC94" s="147"/>
      <c r="AD94" s="147"/>
    </row>
    <row r="95" spans="1:30" ht="15" customHeight="1">
      <c r="A95" s="201"/>
      <c r="B95" s="202" t="s">
        <v>156</v>
      </c>
      <c r="C95" s="48">
        <v>0.113625</v>
      </c>
      <c r="D95" s="48">
        <v>4.6032307692307678E-2</v>
      </c>
      <c r="E95" s="50">
        <f t="shared" si="1"/>
        <v>6.7592692307692326E-2</v>
      </c>
      <c r="AB95" s="147"/>
      <c r="AC95" s="147"/>
      <c r="AD95" s="147"/>
    </row>
    <row r="96" spans="1:30" ht="15" customHeight="1">
      <c r="A96" s="201"/>
      <c r="B96" s="202" t="s">
        <v>157</v>
      </c>
      <c r="C96" s="48">
        <v>0.10612000000000002</v>
      </c>
      <c r="D96" s="48">
        <v>5.113939393939395E-2</v>
      </c>
      <c r="E96" s="50">
        <f t="shared" si="1"/>
        <v>5.498060606060607E-2</v>
      </c>
      <c r="AB96" s="147"/>
      <c r="AC96" s="147"/>
      <c r="AD96" s="147"/>
    </row>
    <row r="97" spans="1:30" ht="15" customHeight="1">
      <c r="A97" s="201"/>
      <c r="B97" s="202" t="s">
        <v>158</v>
      </c>
      <c r="C97" s="48">
        <v>0.10841818181818183</v>
      </c>
      <c r="D97" s="48">
        <v>5.1146969696969691E-2</v>
      </c>
      <c r="E97" s="50">
        <f t="shared" si="1"/>
        <v>5.7271212121212139E-2</v>
      </c>
      <c r="AB97" s="147"/>
      <c r="AC97" s="147"/>
      <c r="AD97" s="147"/>
    </row>
    <row r="98" spans="1:30" ht="15" customHeight="1">
      <c r="A98" s="201"/>
      <c r="B98" s="202" t="s">
        <v>159</v>
      </c>
      <c r="C98" s="48">
        <v>0.11059999999999999</v>
      </c>
      <c r="D98" s="48">
        <v>4.8776923076923072E-2</v>
      </c>
      <c r="E98" s="50">
        <f t="shared" si="1"/>
        <v>6.1823076923076918E-2</v>
      </c>
      <c r="AB98" s="147"/>
      <c r="AC98" s="147"/>
      <c r="AD98" s="147"/>
    </row>
    <row r="99" spans="1:30" ht="15" customHeight="1">
      <c r="A99" s="201"/>
      <c r="B99" s="202" t="s">
        <v>160</v>
      </c>
      <c r="C99" s="48">
        <v>0.10573333333333335</v>
      </c>
      <c r="D99" s="48">
        <v>5.3353846153846154E-2</v>
      </c>
      <c r="E99" s="50">
        <f t="shared" si="1"/>
        <v>5.2379487179487191E-2</v>
      </c>
      <c r="AB99" s="147"/>
      <c r="AC99" s="147"/>
      <c r="AD99" s="147"/>
    </row>
    <row r="100" spans="1:30" ht="15" customHeight="1">
      <c r="A100" s="201"/>
      <c r="B100" s="202" t="s">
        <v>162</v>
      </c>
      <c r="C100" s="48">
        <v>0.10368749999999999</v>
      </c>
      <c r="D100" s="48">
        <v>5.1074242424242439E-2</v>
      </c>
      <c r="E100" s="50">
        <f t="shared" si="1"/>
        <v>5.2613257575757549E-2</v>
      </c>
      <c r="AB100" s="147"/>
      <c r="AC100" s="147"/>
      <c r="AD100" s="147"/>
    </row>
    <row r="101" spans="1:30" ht="15" customHeight="1">
      <c r="A101" s="201"/>
      <c r="B101" s="200">
        <v>2004.4</v>
      </c>
      <c r="C101" s="48">
        <v>0.10658333333333332</v>
      </c>
      <c r="D101" s="48">
        <v>4.9322727272727296E-2</v>
      </c>
      <c r="E101" s="50">
        <f t="shared" si="1"/>
        <v>5.7260606060606026E-2</v>
      </c>
      <c r="AB101" s="147"/>
      <c r="AC101" s="147"/>
      <c r="AD101" s="147"/>
    </row>
    <row r="102" spans="1:30" ht="15" customHeight="1">
      <c r="A102" s="201"/>
      <c r="B102" s="202" t="s">
        <v>163</v>
      </c>
      <c r="C102" s="48">
        <v>0.10650000000000001</v>
      </c>
      <c r="D102" s="48">
        <v>4.7070312500000003E-2</v>
      </c>
      <c r="E102" s="50">
        <f t="shared" si="1"/>
        <v>5.9429687500000009E-2</v>
      </c>
      <c r="AB102" s="147"/>
      <c r="AC102" s="147"/>
      <c r="AD102" s="147"/>
    </row>
    <row r="103" spans="1:30" ht="15" customHeight="1">
      <c r="A103" s="201"/>
      <c r="B103" s="202" t="s">
        <v>164</v>
      </c>
      <c r="C103" s="48">
        <v>0.10536000000000001</v>
      </c>
      <c r="D103" s="48">
        <v>4.4709230769230765E-2</v>
      </c>
      <c r="E103" s="50">
        <f t="shared" si="1"/>
        <v>6.0650769230769244E-2</v>
      </c>
      <c r="AB103" s="147"/>
      <c r="AC103" s="147"/>
      <c r="AD103" s="147"/>
    </row>
    <row r="104" spans="1:30" ht="15" customHeight="1">
      <c r="A104" s="201"/>
      <c r="B104" s="202" t="s">
        <v>165</v>
      </c>
      <c r="C104" s="48">
        <v>0.10471999999999999</v>
      </c>
      <c r="D104" s="48">
        <v>4.4228787878787867E-2</v>
      </c>
      <c r="E104" s="50">
        <f t="shared" si="1"/>
        <v>6.0491212121212126E-2</v>
      </c>
      <c r="AB104" s="147"/>
      <c r="AC104" s="147"/>
      <c r="AD104" s="147"/>
    </row>
    <row r="105" spans="1:30" ht="15" customHeight="1">
      <c r="A105" s="201"/>
      <c r="B105" s="200">
        <v>2005.4</v>
      </c>
      <c r="C105" s="48">
        <v>0.10316428571428572</v>
      </c>
      <c r="D105" s="48">
        <v>4.6523076923076924E-2</v>
      </c>
      <c r="E105" s="50">
        <f t="shared" si="1"/>
        <v>5.6641208791208798E-2</v>
      </c>
      <c r="AB105" s="147"/>
      <c r="AC105" s="147"/>
      <c r="AD105" s="147"/>
    </row>
    <row r="106" spans="1:30" ht="15" customHeight="1">
      <c r="A106" s="201"/>
      <c r="B106" s="202" t="s">
        <v>167</v>
      </c>
      <c r="C106" s="48">
        <v>0.10680000000000001</v>
      </c>
      <c r="D106" s="48">
        <v>4.6270769230769213E-2</v>
      </c>
      <c r="E106" s="50">
        <f t="shared" si="1"/>
        <v>6.0529230769230793E-2</v>
      </c>
      <c r="AB106" s="147"/>
      <c r="AC106" s="147"/>
      <c r="AD106" s="147"/>
    </row>
    <row r="107" spans="1:30" ht="15" customHeight="1">
      <c r="A107" s="201"/>
      <c r="B107" s="202" t="s">
        <v>168</v>
      </c>
      <c r="C107" s="48">
        <v>0.106</v>
      </c>
      <c r="D107" s="48">
        <v>5.1427692307692299E-2</v>
      </c>
      <c r="E107" s="50">
        <f t="shared" si="1"/>
        <v>5.4572307692307698E-2</v>
      </c>
      <c r="AB107" s="147"/>
      <c r="AC107" s="147"/>
      <c r="AD107" s="147"/>
    </row>
    <row r="108" spans="1:30" ht="15" customHeight="1">
      <c r="A108" s="201"/>
      <c r="B108" s="202" t="s">
        <v>169</v>
      </c>
      <c r="C108" s="48">
        <v>0.10337499999999999</v>
      </c>
      <c r="D108" s="48">
        <v>4.9955384615384631E-2</v>
      </c>
      <c r="E108" s="50">
        <f t="shared" si="1"/>
        <v>5.3419615384615364E-2</v>
      </c>
      <c r="AB108" s="147"/>
      <c r="AC108" s="147"/>
      <c r="AD108" s="147"/>
    </row>
    <row r="109" spans="1:30" ht="15" customHeight="1">
      <c r="A109" s="201"/>
      <c r="B109" s="200">
        <v>2006.4</v>
      </c>
      <c r="C109" s="48">
        <v>0.10142</v>
      </c>
      <c r="D109" s="48">
        <v>4.7423076923076908E-2</v>
      </c>
      <c r="E109" s="50">
        <f t="shared" si="1"/>
        <v>5.3996923076923088E-2</v>
      </c>
      <c r="AB109" s="147"/>
      <c r="AC109" s="147"/>
      <c r="AD109" s="147"/>
    </row>
    <row r="110" spans="1:30" ht="15" customHeight="1">
      <c r="A110" s="201"/>
      <c r="B110" s="202" t="s">
        <v>170</v>
      </c>
      <c r="C110" s="48">
        <v>0.10518181818181817</v>
      </c>
      <c r="D110" s="48">
        <v>4.7975384615384635E-2</v>
      </c>
      <c r="E110" s="50">
        <f t="shared" si="1"/>
        <v>5.7206433566433533E-2</v>
      </c>
      <c r="AB110" s="147"/>
      <c r="AC110" s="147"/>
      <c r="AD110" s="147"/>
    </row>
    <row r="111" spans="1:30" ht="15" customHeight="1">
      <c r="A111" s="201"/>
      <c r="B111" s="202" t="s">
        <v>171</v>
      </c>
      <c r="C111" s="48">
        <v>0.10126666666666666</v>
      </c>
      <c r="D111" s="48">
        <v>4.9892307692307715E-2</v>
      </c>
      <c r="E111" s="50">
        <f t="shared" si="1"/>
        <v>5.1374358974358943E-2</v>
      </c>
      <c r="AB111" s="147"/>
      <c r="AC111" s="147"/>
      <c r="AD111" s="147"/>
    </row>
    <row r="112" spans="1:30" ht="15" customHeight="1">
      <c r="A112" s="201"/>
      <c r="B112" s="200">
        <v>2007.3</v>
      </c>
      <c r="C112" s="48">
        <v>0.10026249999999999</v>
      </c>
      <c r="D112" s="48">
        <v>4.9499999999999982E-2</v>
      </c>
      <c r="E112" s="50">
        <f t="shared" si="1"/>
        <v>5.0762500000000009E-2</v>
      </c>
      <c r="AB112" s="147"/>
      <c r="AC112" s="147"/>
      <c r="AD112" s="147"/>
    </row>
    <row r="113" spans="1:30" ht="15" customHeight="1">
      <c r="A113" s="201"/>
      <c r="B113" s="202" t="s">
        <v>172</v>
      </c>
      <c r="C113" s="48">
        <v>0.10117692307692307</v>
      </c>
      <c r="D113" s="48">
        <v>4.6140000000000014E-2</v>
      </c>
      <c r="E113" s="50">
        <f t="shared" si="1"/>
        <v>5.5036923076923053E-2</v>
      </c>
      <c r="AB113" s="147"/>
      <c r="AC113" s="147"/>
      <c r="AD113" s="147"/>
    </row>
    <row r="114" spans="1:30" ht="15" customHeight="1">
      <c r="A114" s="201"/>
      <c r="B114" s="202" t="s">
        <v>173</v>
      </c>
      <c r="C114" s="48">
        <v>0.10375714285714287</v>
      </c>
      <c r="D114" s="48">
        <v>4.409538461538462E-2</v>
      </c>
      <c r="E114" s="50">
        <f t="shared" si="1"/>
        <v>5.9661758241758248E-2</v>
      </c>
      <c r="AB114" s="147"/>
      <c r="AC114" s="147"/>
      <c r="AD114" s="147"/>
    </row>
    <row r="115" spans="1:30" ht="15" customHeight="1">
      <c r="A115" s="201"/>
      <c r="B115" s="202" t="s">
        <v>174</v>
      </c>
      <c r="C115" s="48">
        <v>0.10166666666666668</v>
      </c>
      <c r="D115" s="48">
        <v>4.5739999999999996E-2</v>
      </c>
      <c r="E115" s="50">
        <f t="shared" si="1"/>
        <v>5.5926666666666687E-2</v>
      </c>
      <c r="AB115" s="147"/>
      <c r="AC115" s="147"/>
      <c r="AD115" s="147"/>
    </row>
    <row r="116" spans="1:30" ht="15" customHeight="1">
      <c r="A116" s="201"/>
      <c r="B116" s="202" t="s">
        <v>175</v>
      </c>
      <c r="C116" s="48">
        <v>0.10551111111111111</v>
      </c>
      <c r="D116" s="48">
        <v>4.4501515151515146E-2</v>
      </c>
      <c r="E116" s="50">
        <f t="shared" si="1"/>
        <v>6.1009595959595965E-2</v>
      </c>
      <c r="AB116" s="147"/>
      <c r="AC116" s="147"/>
      <c r="AD116" s="147"/>
    </row>
    <row r="117" spans="1:30" ht="15" customHeight="1">
      <c r="A117" s="201"/>
      <c r="B117" s="202" t="s">
        <v>176</v>
      </c>
      <c r="C117" s="48">
        <v>0.10338461538461538</v>
      </c>
      <c r="D117" s="48">
        <v>3.6437500000000005E-2</v>
      </c>
      <c r="E117" s="50">
        <f t="shared" si="1"/>
        <v>6.6947115384615369E-2</v>
      </c>
      <c r="AB117" s="147"/>
      <c r="AC117" s="147"/>
      <c r="AD117" s="147"/>
    </row>
    <row r="118" spans="1:30" ht="15" customHeight="1">
      <c r="A118" s="201"/>
      <c r="B118" s="202" t="s">
        <v>177</v>
      </c>
      <c r="C118" s="48">
        <v>0.10242499999999999</v>
      </c>
      <c r="D118" s="48">
        <v>3.4393749999999994E-2</v>
      </c>
      <c r="E118" s="50">
        <f t="shared" si="1"/>
        <v>6.8031249999999988E-2</v>
      </c>
      <c r="AB118" s="147"/>
      <c r="AC118" s="147"/>
      <c r="AD118" s="147"/>
    </row>
    <row r="119" spans="1:30" ht="15" customHeight="1">
      <c r="A119" s="201"/>
      <c r="B119" s="202" t="s">
        <v>178</v>
      </c>
      <c r="C119" s="48">
        <v>0.101075</v>
      </c>
      <c r="D119" s="48">
        <v>4.1692307692307695E-2</v>
      </c>
      <c r="E119" s="50">
        <f t="shared" si="1"/>
        <v>5.9382692307692303E-2</v>
      </c>
      <c r="AB119" s="147"/>
      <c r="AC119" s="147"/>
      <c r="AD119" s="147"/>
    </row>
    <row r="120" spans="1:30" ht="15" customHeight="1">
      <c r="A120" s="201"/>
      <c r="B120" s="202" t="s">
        <v>179</v>
      </c>
      <c r="C120" s="48">
        <v>9.8799999999999999E-2</v>
      </c>
      <c r="D120" s="48">
        <v>4.321666666666666E-2</v>
      </c>
      <c r="E120" s="50">
        <f t="shared" si="1"/>
        <v>5.5583333333333339E-2</v>
      </c>
      <c r="AB120" s="147"/>
      <c r="AC120" s="147"/>
      <c r="AD120" s="147"/>
    </row>
    <row r="121" spans="1:30" ht="15" customHeight="1">
      <c r="A121" s="201"/>
      <c r="B121" s="202" t="s">
        <v>180</v>
      </c>
      <c r="C121" s="48">
        <v>0.10305000000000003</v>
      </c>
      <c r="D121" s="48">
        <v>4.3392187499999998E-2</v>
      </c>
      <c r="E121" s="50">
        <f t="shared" si="1"/>
        <v>5.9657812500000032E-2</v>
      </c>
      <c r="AB121" s="147"/>
      <c r="AC121" s="147"/>
      <c r="AD121" s="147"/>
    </row>
    <row r="122" spans="1:30" ht="15" customHeight="1">
      <c r="A122" s="201"/>
      <c r="B122" s="202" t="s">
        <v>181</v>
      </c>
      <c r="C122" s="48">
        <v>0.10236666666666666</v>
      </c>
      <c r="D122" s="48">
        <v>4.6243749999999986E-2</v>
      </c>
      <c r="E122" s="50">
        <f t="shared" si="1"/>
        <v>5.6122916666666675E-2</v>
      </c>
      <c r="AB122" s="147"/>
      <c r="AC122" s="147"/>
      <c r="AD122" s="147"/>
    </row>
    <row r="123" spans="1:30" ht="15" customHeight="1">
      <c r="A123" s="201"/>
      <c r="B123" s="202" t="s">
        <v>182</v>
      </c>
      <c r="C123" s="48">
        <v>9.985454545454546E-2</v>
      </c>
      <c r="D123" s="48">
        <v>4.3692307692307676E-2</v>
      </c>
      <c r="E123" s="50">
        <f t="shared" si="1"/>
        <v>5.6162237762237784E-2</v>
      </c>
      <c r="AB123" s="147"/>
      <c r="AC123" s="147"/>
      <c r="AD123" s="147"/>
    </row>
    <row r="124" spans="1:30" ht="15" customHeight="1">
      <c r="A124" s="201"/>
      <c r="B124" s="202" t="s">
        <v>183</v>
      </c>
      <c r="C124" s="48">
        <v>0.10425</v>
      </c>
      <c r="D124" s="48">
        <v>3.8563636363636355E-2</v>
      </c>
      <c r="E124" s="50">
        <f t="shared" si="1"/>
        <v>6.568636363636364E-2</v>
      </c>
      <c r="AB124" s="147"/>
      <c r="AC124" s="147"/>
      <c r="AD124" s="147"/>
    </row>
    <row r="125" spans="1:30" ht="15" customHeight="1">
      <c r="A125" s="201"/>
      <c r="B125" s="202" t="s">
        <v>184</v>
      </c>
      <c r="C125" s="50">
        <v>0.10092307692307692</v>
      </c>
      <c r="D125" s="50">
        <v>4.1749230769230768E-2</v>
      </c>
      <c r="E125" s="50">
        <f t="shared" si="1"/>
        <v>5.9173846153846153E-2</v>
      </c>
      <c r="AB125" s="147"/>
      <c r="AC125" s="147"/>
      <c r="AD125" s="147"/>
    </row>
    <row r="126" spans="1:30" ht="15" customHeight="1">
      <c r="A126" s="201"/>
      <c r="B126" s="202" t="s">
        <v>185</v>
      </c>
      <c r="C126" s="50">
        <v>0.10100000000000001</v>
      </c>
      <c r="D126" s="50">
        <v>4.5609374999999994E-2</v>
      </c>
      <c r="E126" s="50">
        <f t="shared" si="1"/>
        <v>5.5390625000000013E-2</v>
      </c>
      <c r="AB126" s="147"/>
      <c r="AC126" s="147"/>
      <c r="AD126" s="147"/>
    </row>
    <row r="127" spans="1:30" ht="15" customHeight="1">
      <c r="A127" s="201"/>
      <c r="B127" s="202" t="s">
        <v>186</v>
      </c>
      <c r="C127" s="50">
        <v>9.845000000000001E-2</v>
      </c>
      <c r="D127" s="50">
        <v>4.3387692307692308E-2</v>
      </c>
      <c r="E127" s="50">
        <f t="shared" si="1"/>
        <v>5.5062307692307702E-2</v>
      </c>
      <c r="AB127" s="147"/>
      <c r="AC127" s="147"/>
      <c r="AD127" s="147"/>
    </row>
    <row r="128" spans="1:30" ht="15" customHeight="1">
      <c r="A128" s="201"/>
      <c r="B128" s="202" t="s">
        <v>187</v>
      </c>
      <c r="C128" s="50">
        <v>9.6500000000000002E-2</v>
      </c>
      <c r="D128" s="50">
        <v>3.6960606060606048E-2</v>
      </c>
      <c r="E128" s="50">
        <f t="shared" si="1"/>
        <v>5.9539393939393954E-2</v>
      </c>
      <c r="AB128" s="147"/>
      <c r="AC128" s="147"/>
      <c r="AD128" s="147"/>
    </row>
    <row r="129" spans="1:30" ht="15" customHeight="1">
      <c r="A129" s="201"/>
      <c r="B129" s="202" t="s">
        <v>188</v>
      </c>
      <c r="C129" s="50">
        <v>9.8750000000000004E-2</v>
      </c>
      <c r="D129" s="50">
        <v>3.0376190476190473E-2</v>
      </c>
      <c r="E129" s="50">
        <f t="shared" si="1"/>
        <v>6.8373809523809531E-2</v>
      </c>
      <c r="AB129" s="147"/>
      <c r="AC129" s="147"/>
      <c r="AD129" s="147"/>
    </row>
    <row r="130" spans="1:30" ht="15" customHeight="1">
      <c r="A130" s="201"/>
      <c r="B130" s="202" t="s">
        <v>189</v>
      </c>
      <c r="C130" s="50">
        <v>9.6319999999999989E-2</v>
      </c>
      <c r="D130" s="50">
        <v>3.1361538461538462E-2</v>
      </c>
      <c r="E130" s="50">
        <f t="shared" si="1"/>
        <v>6.495846153846152E-2</v>
      </c>
      <c r="AB130" s="147"/>
      <c r="AC130" s="147"/>
      <c r="AD130" s="147"/>
    </row>
    <row r="131" spans="1:30" ht="15" customHeight="1">
      <c r="A131" s="201"/>
      <c r="B131" s="202" t="s">
        <v>190</v>
      </c>
      <c r="C131" s="50">
        <v>9.8312499999999983E-2</v>
      </c>
      <c r="D131" s="50">
        <v>2.9363076923076922E-2</v>
      </c>
      <c r="E131" s="50">
        <f t="shared" si="1"/>
        <v>6.8949423076923061E-2</v>
      </c>
    </row>
    <row r="132" spans="1:30" ht="15" customHeight="1">
      <c r="A132" s="201"/>
      <c r="B132" s="202" t="s">
        <v>191</v>
      </c>
      <c r="C132" s="50">
        <v>9.7500000000000003E-2</v>
      </c>
      <c r="D132" s="50">
        <v>2.7429230769230779E-2</v>
      </c>
      <c r="E132" s="50">
        <f t="shared" si="1"/>
        <v>7.0070769230769228E-2</v>
      </c>
    </row>
    <row r="133" spans="1:30" ht="15" customHeight="1">
      <c r="A133" s="201"/>
      <c r="B133" s="202" t="s">
        <v>192</v>
      </c>
      <c r="C133" s="50">
        <v>0.10055</v>
      </c>
      <c r="D133" s="50">
        <v>2.8639062499999993E-2</v>
      </c>
      <c r="E133" s="50">
        <f t="shared" si="1"/>
        <v>7.1910937500000008E-2</v>
      </c>
    </row>
    <row r="134" spans="1:30" ht="15" customHeight="1">
      <c r="A134" s="201"/>
      <c r="B134" s="202" t="s">
        <v>193</v>
      </c>
      <c r="C134" s="50">
        <v>9.5666666666666678E-2</v>
      </c>
      <c r="D134" s="50">
        <v>3.1303125000000008E-2</v>
      </c>
      <c r="E134" s="50">
        <f t="shared" si="1"/>
        <v>6.4363541666666663E-2</v>
      </c>
    </row>
    <row r="135" spans="1:30" ht="15" customHeight="1">
      <c r="A135" s="201"/>
      <c r="B135" s="202" t="s">
        <v>194</v>
      </c>
      <c r="C135" s="50">
        <v>9.4683333333333328E-2</v>
      </c>
      <c r="D135" s="50">
        <v>3.1412307692307684E-2</v>
      </c>
      <c r="E135" s="50">
        <f t="shared" ref="E135:E179" si="2">C135-D135</f>
        <v>6.3271025641025644E-2</v>
      </c>
    </row>
    <row r="136" spans="1:30" ht="15" customHeight="1">
      <c r="A136" s="201"/>
      <c r="B136" s="202" t="s">
        <v>195</v>
      </c>
      <c r="C136" s="50">
        <v>9.6000000000000002E-2</v>
      </c>
      <c r="D136" s="50">
        <v>3.7107575757575756E-2</v>
      </c>
      <c r="E136" s="50">
        <f t="shared" si="2"/>
        <v>5.8892424242424246E-2</v>
      </c>
    </row>
    <row r="137" spans="1:30" ht="15" customHeight="1">
      <c r="A137" s="201"/>
      <c r="B137" s="202" t="s">
        <v>196</v>
      </c>
      <c r="C137" s="50">
        <v>9.8290909090909082E-2</v>
      </c>
      <c r="D137" s="50">
        <v>3.7882812500000008E-2</v>
      </c>
      <c r="E137" s="50">
        <f t="shared" si="2"/>
        <v>6.0408096590909073E-2</v>
      </c>
    </row>
    <row r="138" spans="1:30" ht="15" customHeight="1">
      <c r="A138" s="201"/>
      <c r="B138" s="202" t="s">
        <v>197</v>
      </c>
      <c r="C138" s="50">
        <v>9.5416666666666664E-2</v>
      </c>
      <c r="D138" s="50">
        <v>3.6903125000000009E-2</v>
      </c>
      <c r="E138" s="50">
        <f t="shared" si="2"/>
        <v>5.8513541666666655E-2</v>
      </c>
    </row>
    <row r="139" spans="1:30" ht="15" customHeight="1">
      <c r="A139" s="201"/>
      <c r="B139" s="202" t="s">
        <v>198</v>
      </c>
      <c r="C139" s="50">
        <v>9.8362499999999992E-2</v>
      </c>
      <c r="D139" s="50">
        <v>3.4430769230769237E-2</v>
      </c>
      <c r="E139" s="50">
        <f t="shared" si="2"/>
        <v>6.3931730769230755E-2</v>
      </c>
    </row>
    <row r="140" spans="1:30" ht="15" customHeight="1">
      <c r="A140" s="201"/>
      <c r="B140" s="202" t="s">
        <v>199</v>
      </c>
      <c r="C140" s="50">
        <v>9.4500000000000015E-2</v>
      </c>
      <c r="D140" s="50">
        <v>3.2657575757575753E-2</v>
      </c>
      <c r="E140" s="50">
        <f t="shared" si="2"/>
        <v>6.1842424242424261E-2</v>
      </c>
    </row>
    <row r="141" spans="1:30" ht="15" customHeight="1">
      <c r="A141" s="201"/>
      <c r="B141" s="202" t="s">
        <v>200</v>
      </c>
      <c r="C141" s="50">
        <v>0.10283333333333333</v>
      </c>
      <c r="D141" s="50">
        <v>2.9637499999999997E-2</v>
      </c>
      <c r="E141" s="50">
        <f t="shared" si="2"/>
        <v>7.3195833333333335E-2</v>
      </c>
    </row>
    <row r="142" spans="1:30" ht="15" customHeight="1">
      <c r="A142" s="201"/>
      <c r="B142" s="202" t="s">
        <v>201</v>
      </c>
      <c r="C142" s="50">
        <v>9.4666666666666677E-2</v>
      </c>
      <c r="D142" s="50">
        <v>2.5540625000000004E-2</v>
      </c>
      <c r="E142" s="50">
        <f t="shared" si="2"/>
        <v>6.9126041666666665E-2</v>
      </c>
    </row>
    <row r="143" spans="1:30" ht="15" customHeight="1">
      <c r="A143" s="201"/>
      <c r="B143" s="202" t="s">
        <v>202</v>
      </c>
      <c r="C143" s="50">
        <v>9.4333333333333338E-2</v>
      </c>
      <c r="D143" s="50">
        <v>2.8836923076923083E-2</v>
      </c>
      <c r="E143" s="50">
        <f t="shared" si="2"/>
        <v>6.5496410256410259E-2</v>
      </c>
    </row>
    <row r="144" spans="1:30" ht="15" customHeight="1">
      <c r="A144" s="201"/>
      <c r="B144" s="202" t="s">
        <v>203</v>
      </c>
      <c r="C144" s="50">
        <v>9.7500000000000003E-2</v>
      </c>
      <c r="D144" s="50">
        <v>2.9624242424242438E-2</v>
      </c>
      <c r="E144" s="50">
        <f t="shared" si="2"/>
        <v>6.7875757575757562E-2</v>
      </c>
    </row>
    <row r="145" spans="1:5" ht="15" customHeight="1">
      <c r="A145" s="201"/>
      <c r="B145" s="202" t="s">
        <v>204</v>
      </c>
      <c r="C145" s="50">
        <v>9.6777777777777768E-2</v>
      </c>
      <c r="D145" s="50">
        <v>2.9630303030303028E-2</v>
      </c>
      <c r="E145" s="50">
        <f t="shared" si="2"/>
        <v>6.7147474747474734E-2</v>
      </c>
    </row>
    <row r="146" spans="1:5" ht="15" customHeight="1">
      <c r="A146" s="201"/>
      <c r="B146" s="202" t="s">
        <v>205</v>
      </c>
      <c r="C146" s="50">
        <v>9.4833333333333325E-2</v>
      </c>
      <c r="D146" s="50">
        <v>2.7218461538461539E-2</v>
      </c>
      <c r="E146" s="50">
        <f t="shared" si="2"/>
        <v>6.7614871794871786E-2</v>
      </c>
    </row>
    <row r="147" spans="1:5" ht="15" customHeight="1">
      <c r="A147" s="201"/>
      <c r="B147" s="202" t="s">
        <v>206</v>
      </c>
      <c r="C147" s="50">
        <v>9.4149999999999998E-2</v>
      </c>
      <c r="D147" s="50">
        <v>2.5672307692307696E-2</v>
      </c>
      <c r="E147" s="50">
        <f t="shared" si="2"/>
        <v>6.8477692307692295E-2</v>
      </c>
    </row>
    <row r="148" spans="1:5" ht="15" customHeight="1">
      <c r="A148" s="201"/>
      <c r="B148" s="202" t="s">
        <v>207</v>
      </c>
      <c r="C148" s="50">
        <v>9.4649999999999984E-2</v>
      </c>
      <c r="D148" s="50">
        <v>2.2793939393939398E-2</v>
      </c>
      <c r="E148" s="50">
        <f t="shared" si="2"/>
        <v>7.185606060606059E-2</v>
      </c>
    </row>
    <row r="149" spans="1:5" ht="15" customHeight="1">
      <c r="A149" s="201"/>
      <c r="B149" s="202" t="s">
        <v>208</v>
      </c>
      <c r="C149" s="50">
        <v>9.6722222222222209E-2</v>
      </c>
      <c r="D149" s="50">
        <v>2.8333846153846154E-2</v>
      </c>
      <c r="E149" s="50">
        <f t="shared" si="2"/>
        <v>6.8388376068376056E-2</v>
      </c>
    </row>
    <row r="150" spans="1:5" ht="15" customHeight="1">
      <c r="A150" s="201"/>
      <c r="B150" s="202" t="s">
        <v>209</v>
      </c>
      <c r="C150" s="50">
        <v>9.6000000000000016E-2</v>
      </c>
      <c r="D150" s="50">
        <v>3.0452307692307709E-2</v>
      </c>
      <c r="E150" s="50">
        <f t="shared" si="2"/>
        <v>6.5547692307692307E-2</v>
      </c>
    </row>
    <row r="151" spans="1:5" ht="15" customHeight="1">
      <c r="A151" s="201"/>
      <c r="B151" s="200">
        <v>2017.2</v>
      </c>
      <c r="C151" s="50">
        <v>9.4714285714285709E-2</v>
      </c>
      <c r="D151" s="50">
        <v>2.8972307692307693E-2</v>
      </c>
      <c r="E151" s="50">
        <f t="shared" si="2"/>
        <v>6.5741978021978009E-2</v>
      </c>
    </row>
    <row r="152" spans="1:5" ht="15" customHeight="1">
      <c r="A152" s="201"/>
      <c r="B152" s="200">
        <v>2017.3</v>
      </c>
      <c r="C152" s="50">
        <v>0.10138333333333333</v>
      </c>
      <c r="D152" s="50">
        <v>2.8173846153846157E-2</v>
      </c>
      <c r="E152" s="50">
        <f t="shared" si="2"/>
        <v>7.3209487179487165E-2</v>
      </c>
    </row>
    <row r="153" spans="1:5" ht="15" customHeight="1">
      <c r="A153" s="201"/>
      <c r="B153" s="200">
        <v>2017.4</v>
      </c>
      <c r="C153" s="50">
        <v>9.6999999999999989E-2</v>
      </c>
      <c r="D153" s="50">
        <v>2.817384615384615E-2</v>
      </c>
      <c r="E153" s="50">
        <f t="shared" si="2"/>
        <v>6.8826153846153842E-2</v>
      </c>
    </row>
    <row r="154" spans="1:5" ht="15" customHeight="1">
      <c r="B154" s="200">
        <v>2018.1</v>
      </c>
      <c r="C154" s="50">
        <v>9.6816666666666662E-2</v>
      </c>
      <c r="D154" s="50">
        <v>3.0235384615384615E-2</v>
      </c>
      <c r="E154" s="50">
        <f t="shared" si="2"/>
        <v>6.6581282051282054E-2</v>
      </c>
    </row>
    <row r="155" spans="1:5" ht="15" customHeight="1">
      <c r="B155" s="200">
        <v>2018.2</v>
      </c>
      <c r="C155" s="50">
        <v>9.4285714285714292E-2</v>
      </c>
      <c r="D155" s="50">
        <v>3.0853846153846162E-2</v>
      </c>
      <c r="E155" s="50">
        <f t="shared" si="2"/>
        <v>6.343186813186813E-2</v>
      </c>
    </row>
    <row r="156" spans="1:5" ht="15" customHeight="1">
      <c r="B156" s="200">
        <v>2018.3</v>
      </c>
      <c r="C156" s="50">
        <v>9.7108333333333338E-2</v>
      </c>
      <c r="D156" s="50">
        <v>3.0607692307692315E-2</v>
      </c>
      <c r="E156" s="50">
        <f t="shared" si="2"/>
        <v>6.6500641025641016E-2</v>
      </c>
    </row>
    <row r="157" spans="1:5" ht="15" customHeight="1">
      <c r="B157" s="200">
        <v>2018.4</v>
      </c>
      <c r="C157" s="50">
        <v>9.5307142857142854E-2</v>
      </c>
      <c r="D157" s="50">
        <v>3.26939393939394E-2</v>
      </c>
      <c r="E157" s="50">
        <f t="shared" si="2"/>
        <v>6.2613203463203454E-2</v>
      </c>
    </row>
    <row r="158" spans="1:5" ht="15" customHeight="1">
      <c r="B158" s="200">
        <v>2019.1</v>
      </c>
      <c r="C158" s="50">
        <v>9.5500000000000002E-2</v>
      </c>
      <c r="D158" s="50">
        <v>3.0129687499999998E-2</v>
      </c>
      <c r="E158" s="50">
        <f t="shared" si="2"/>
        <v>6.53703125E-2</v>
      </c>
    </row>
    <row r="159" spans="1:5" ht="15" customHeight="1">
      <c r="B159" s="200">
        <v>2019.2</v>
      </c>
      <c r="C159" s="50">
        <v>9.7266666666666668E-2</v>
      </c>
      <c r="D159" s="50">
        <v>2.7836923076923075E-2</v>
      </c>
      <c r="E159" s="50">
        <f t="shared" si="2"/>
        <v>6.9429743589743589E-2</v>
      </c>
    </row>
    <row r="160" spans="1:5" ht="15" customHeight="1">
      <c r="B160" s="200">
        <v>2019.3</v>
      </c>
      <c r="C160" s="50">
        <v>9.9500000000000005E-2</v>
      </c>
      <c r="D160" s="50">
        <v>2.2849999999999995E-2</v>
      </c>
      <c r="E160" s="50">
        <f t="shared" si="2"/>
        <v>7.665000000000001E-2</v>
      </c>
    </row>
    <row r="161" spans="2:5" ht="15" customHeight="1">
      <c r="B161" s="200">
        <v>2019.4</v>
      </c>
      <c r="C161" s="50">
        <v>9.738636363636366E-2</v>
      </c>
      <c r="D161" s="50">
        <v>2.2566666666666676E-2</v>
      </c>
      <c r="E161" s="50">
        <f t="shared" si="2"/>
        <v>7.481969696969698E-2</v>
      </c>
    </row>
    <row r="162" spans="2:5" ht="15" customHeight="1">
      <c r="B162" s="200">
        <v>2020.1</v>
      </c>
      <c r="C162" s="50">
        <v>9.3522222222222229E-2</v>
      </c>
      <c r="D162" s="50">
        <v>1.8878461538461538E-2</v>
      </c>
      <c r="E162" s="50">
        <f t="shared" si="2"/>
        <v>7.464376068376069E-2</v>
      </c>
    </row>
    <row r="163" spans="2:5" ht="15" customHeight="1">
      <c r="B163" s="200">
        <v>2020.2</v>
      </c>
      <c r="C163" s="50">
        <v>9.5499999999999988E-2</v>
      </c>
      <c r="D163" s="50">
        <v>1.3801538461538454E-2</v>
      </c>
      <c r="E163" s="50">
        <f t="shared" si="2"/>
        <v>8.1698461538461539E-2</v>
      </c>
    </row>
    <row r="164" spans="2:5" ht="15" customHeight="1">
      <c r="B164" s="47">
        <v>2020.3</v>
      </c>
      <c r="C164" s="50">
        <v>9.5187500000000008E-2</v>
      </c>
      <c r="D164" s="50">
        <v>1.3654545454545457E-2</v>
      </c>
      <c r="E164" s="50">
        <f t="shared" si="2"/>
        <v>8.1532954545454547E-2</v>
      </c>
    </row>
    <row r="165" spans="2:5" ht="15" customHeight="1">
      <c r="B165" s="47">
        <v>2020.4</v>
      </c>
      <c r="C165" s="50">
        <v>9.4953333333333362E-2</v>
      </c>
      <c r="D165" s="50">
        <v>1.6210606060606054E-2</v>
      </c>
      <c r="E165" s="50">
        <f t="shared" si="2"/>
        <v>7.8742727272727311E-2</v>
      </c>
    </row>
    <row r="166" spans="2:5" ht="15" customHeight="1">
      <c r="B166" s="47">
        <v>2021.1</v>
      </c>
      <c r="C166" s="50">
        <v>9.708E-2</v>
      </c>
      <c r="D166" s="50">
        <v>2.0748437499999998E-2</v>
      </c>
      <c r="E166" s="50">
        <f t="shared" si="2"/>
        <v>7.6331562500000005E-2</v>
      </c>
    </row>
    <row r="167" spans="2:5" ht="15" customHeight="1">
      <c r="B167" s="47">
        <v>2021.2</v>
      </c>
      <c r="C167" s="50">
        <v>9.4783333333333331E-2</v>
      </c>
      <c r="D167" s="50">
        <v>2.2579999999999996E-2</v>
      </c>
      <c r="E167" s="50">
        <f t="shared" si="2"/>
        <v>7.2203333333333342E-2</v>
      </c>
    </row>
    <row r="168" spans="2:5" ht="15" customHeight="1">
      <c r="B168" s="47">
        <v>2021.3</v>
      </c>
      <c r="C168" s="50">
        <v>9.4327272727272718E-2</v>
      </c>
      <c r="D168" s="50">
        <v>1.9333333333333327E-2</v>
      </c>
      <c r="E168" s="50">
        <f t="shared" si="2"/>
        <v>7.4993939393939391E-2</v>
      </c>
    </row>
    <row r="169" spans="2:5" ht="15" customHeight="1">
      <c r="B169" s="47">
        <v>2021.4</v>
      </c>
      <c r="C169" s="50">
        <v>9.5937500000000023E-2</v>
      </c>
      <c r="D169" s="50">
        <v>1.9479687499999995E-2</v>
      </c>
      <c r="E169" s="50">
        <f t="shared" si="2"/>
        <v>7.6457812500000027E-2</v>
      </c>
    </row>
    <row r="170" spans="2:5" ht="15" customHeight="1">
      <c r="B170" s="47">
        <v>2022.1</v>
      </c>
      <c r="C170" s="50">
        <v>9.3749999999999986E-2</v>
      </c>
      <c r="D170" s="50">
        <v>2.2546031746031748E-2</v>
      </c>
      <c r="E170" s="50">
        <f t="shared" si="2"/>
        <v>7.1203968253968242E-2</v>
      </c>
    </row>
    <row r="171" spans="2:5" ht="15" customHeight="1">
      <c r="B171" s="47">
        <v>2022.2</v>
      </c>
      <c r="C171" s="50">
        <v>9.2266666666666677E-2</v>
      </c>
      <c r="D171" s="50">
        <v>3.0455384615384599E-2</v>
      </c>
      <c r="E171" s="50">
        <f t="shared" si="2"/>
        <v>6.1811282051282078E-2</v>
      </c>
    </row>
    <row r="172" spans="2:5" ht="15" customHeight="1">
      <c r="B172" s="47">
        <v>2022.3</v>
      </c>
      <c r="C172" s="50">
        <v>9.5174999999999996E-2</v>
      </c>
      <c r="D172" s="50">
        <v>3.2607575757575759E-2</v>
      </c>
      <c r="E172" s="50">
        <f t="shared" si="2"/>
        <v>6.256742424242423E-2</v>
      </c>
    </row>
    <row r="173" spans="2:5" ht="15" customHeight="1">
      <c r="B173" s="47">
        <v>2022.4</v>
      </c>
      <c r="C173" s="50">
        <v>9.6456250000000021E-2</v>
      </c>
      <c r="D173" s="50">
        <v>3.8912500000000003E-2</v>
      </c>
      <c r="E173" s="50">
        <f t="shared" si="2"/>
        <v>5.7543750000000018E-2</v>
      </c>
    </row>
    <row r="174" spans="2:5" ht="15" customHeight="1">
      <c r="B174" s="47">
        <v>2023.1</v>
      </c>
      <c r="C174" s="50">
        <v>9.6366666666666656E-2</v>
      </c>
      <c r="D174" s="50">
        <v>3.7495384615384618E-2</v>
      </c>
      <c r="E174" s="50">
        <f t="shared" si="2"/>
        <v>5.8871282051282038E-2</v>
      </c>
    </row>
    <row r="175" spans="2:5" ht="15" customHeight="1">
      <c r="B175" s="47">
        <v>2023.2</v>
      </c>
      <c r="C175" s="50">
        <v>9.4E-2</v>
      </c>
      <c r="D175" s="50">
        <v>3.808461538461537E-2</v>
      </c>
      <c r="E175" s="50">
        <f t="shared" si="2"/>
        <v>5.5915384615384631E-2</v>
      </c>
    </row>
    <row r="176" spans="2:5" ht="15" customHeight="1">
      <c r="B176" s="47">
        <v>2023.3</v>
      </c>
      <c r="C176" s="50">
        <v>9.5316666666666661E-2</v>
      </c>
      <c r="D176" s="50">
        <v>4.234461538461539E-2</v>
      </c>
      <c r="E176" s="50">
        <f t="shared" si="2"/>
        <v>5.297205128205127E-2</v>
      </c>
    </row>
    <row r="177" spans="2:5" ht="15" customHeight="1">
      <c r="B177" s="47">
        <v>2023.4</v>
      </c>
      <c r="C177" s="50">
        <v>9.6200000000000022E-2</v>
      </c>
      <c r="D177" s="50">
        <v>4.5817187500000002E-2</v>
      </c>
      <c r="E177" s="50">
        <f t="shared" si="2"/>
        <v>5.038281250000002E-2</v>
      </c>
    </row>
    <row r="178" spans="2:5" ht="15" customHeight="1">
      <c r="B178" s="47">
        <v>2024.1</v>
      </c>
      <c r="C178" s="50">
        <v>9.6166666666666664E-2</v>
      </c>
      <c r="D178" s="50">
        <v>4.3239062499999988E-2</v>
      </c>
      <c r="E178" s="50">
        <f t="shared" si="2"/>
        <v>5.2927604166666677E-2</v>
      </c>
    </row>
    <row r="179" spans="2:5" ht="15" customHeight="1">
      <c r="B179" s="47">
        <v>2024.2</v>
      </c>
      <c r="C179" s="50">
        <v>0.10085999999999999</v>
      </c>
      <c r="D179" s="50">
        <v>4.5758461538461546E-2</v>
      </c>
      <c r="E179" s="50">
        <f t="shared" si="2"/>
        <v>5.5101538461538445E-2</v>
      </c>
    </row>
    <row r="180" spans="2:5" ht="15" customHeight="1">
      <c r="B180" s="64" t="s">
        <v>155</v>
      </c>
      <c r="C180" s="65">
        <f>AVERAGE(C6:C179)</f>
        <v>0.11356655631970947</v>
      </c>
      <c r="D180" s="65">
        <f t="shared" ref="D180:E180" si="3">AVERAGE(D6:D179)</f>
        <v>6.060949584569375E-2</v>
      </c>
      <c r="E180" s="65">
        <f t="shared" si="3"/>
        <v>5.295706047401566E-2</v>
      </c>
    </row>
    <row r="181" spans="2:5" ht="15" customHeight="1" thickBot="1">
      <c r="B181" s="66" t="s">
        <v>210</v>
      </c>
      <c r="C181" s="67">
        <f>MEDIAN(C6:C179)</f>
        <v>0.10783333333333334</v>
      </c>
      <c r="D181" s="67">
        <f t="shared" ref="D181:E181" si="4">MEDIAN(D6:D179)</f>
        <v>5.1287331002330995E-2</v>
      </c>
      <c r="E181" s="67">
        <f t="shared" si="4"/>
        <v>5.5008764568764565E-2</v>
      </c>
    </row>
  </sheetData>
  <mergeCells count="1">
    <mergeCell ref="B2:E2"/>
  </mergeCells>
  <conditionalFormatting sqref="C6:E128 E129:E179">
    <cfRule type="containsErrors" dxfId="17" priority="7">
      <formula>ISERROR(C6)</formula>
    </cfRule>
  </conditionalFormatting>
  <conditionalFormatting sqref="AB1:AD1048576">
    <cfRule type="containsText" dxfId="16" priority="6" operator="containsText" text="TRUE">
      <formula>NOT(ISERROR(SEARCH("TRUE",AB1)))</formula>
    </cfRule>
  </conditionalFormatting>
  <conditionalFormatting sqref="I40:X46 P23:X39 I50:X64 I47:J49 M47:X49">
    <cfRule type="containsText" dxfId="15" priority="5" operator="containsText" text="TRUE">
      <formula>NOT(ISERROR(SEARCH("TRUE",I23)))</formula>
    </cfRule>
  </conditionalFormatting>
  <conditionalFormatting sqref="K47:K49">
    <cfRule type="containsText" dxfId="14" priority="3" operator="containsText" text="TRUE">
      <formula>NOT(ISERROR(SEARCH("TRUE",K47)))</formula>
    </cfRule>
  </conditionalFormatting>
  <conditionalFormatting sqref="L47:L49">
    <cfRule type="containsText" dxfId="13" priority="2" operator="containsText" text="TRUE">
      <formula>NOT(ISERROR(SEARCH("TRUE",L47)))</formula>
    </cfRule>
  </conditionalFormatting>
  <conditionalFormatting sqref="C129:D179">
    <cfRule type="containsErrors" dxfId="12" priority="1">
      <formula>ISERROR(C129)</formula>
    </cfRule>
  </conditionalFormatting>
  <printOptions horizontalCentered="1"/>
  <pageMargins left="0.7" right="0.7" top="1.5" bottom="0.75" header="0.3" footer="0.3"/>
  <pageSetup scale="62" fitToHeight="3" orientation="portrait" useFirstPageNumber="1" r:id="rId1"/>
  <headerFooter scaleWithDoc="0">
    <oddHeader>&amp;RDocket No. U-_____ 
Exhibit AEB-8
Page &amp;P of 4</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D592-0C60-4B3D-A582-A350D99BB336}">
  <sheetPr codeName="Sheet5">
    <pageSetUpPr fitToPage="1"/>
  </sheetPr>
  <dimension ref="B1:L59"/>
  <sheetViews>
    <sheetView topLeftCell="A12" zoomScaleNormal="100" zoomScaleSheetLayoutView="90" workbookViewId="0">
      <selection activeCell="M49" sqref="M49"/>
    </sheetView>
  </sheetViews>
  <sheetFormatPr defaultColWidth="8.7265625" defaultRowHeight="14.5"/>
  <cols>
    <col min="1" max="1" width="4.54296875" style="332" customWidth="1"/>
    <col min="2" max="2" width="19.1796875" style="332" customWidth="1"/>
    <col min="3" max="3" width="15.6328125" style="332" customWidth="1"/>
    <col min="4" max="4" width="14.54296875" style="332" customWidth="1"/>
    <col min="5" max="5" width="8.7265625" style="332"/>
    <col min="6" max="6" width="14.453125" style="332" customWidth="1"/>
    <col min="7" max="7" width="13.7265625" style="332" customWidth="1"/>
    <col min="8" max="8" width="8.7265625" style="332"/>
    <col min="9" max="9" width="9.54296875" style="332" bestFit="1" customWidth="1"/>
    <col min="10" max="16384" width="8.7265625" style="332"/>
  </cols>
  <sheetData>
    <row r="1" spans="2:12" ht="15" customHeight="1">
      <c r="B1" s="204"/>
      <c r="C1" s="204"/>
      <c r="D1" s="204"/>
      <c r="E1" s="204"/>
      <c r="F1" s="204"/>
      <c r="G1" s="204"/>
    </row>
    <row r="2" spans="2:12" ht="15" customHeight="1">
      <c r="B2" s="203" t="s">
        <v>1296</v>
      </c>
      <c r="C2" s="203"/>
      <c r="D2" s="203"/>
      <c r="E2" s="203"/>
      <c r="F2" s="203"/>
      <c r="G2" s="203"/>
    </row>
    <row r="3" spans="2:12" ht="15" customHeight="1">
      <c r="B3" s="204"/>
      <c r="C3" s="204"/>
      <c r="D3" s="204"/>
      <c r="E3" s="204"/>
      <c r="F3" s="204"/>
      <c r="G3" s="204"/>
    </row>
    <row r="4" spans="2:12" ht="15" customHeight="1">
      <c r="B4" s="203" t="s">
        <v>1464</v>
      </c>
      <c r="C4" s="203"/>
      <c r="D4" s="203"/>
      <c r="E4" s="203"/>
      <c r="F4" s="203"/>
      <c r="G4" s="203"/>
    </row>
    <row r="5" spans="2:12" ht="15" customHeight="1">
      <c r="B5" s="204"/>
      <c r="C5" s="204"/>
      <c r="D5" s="204"/>
      <c r="E5" s="204"/>
      <c r="F5" s="204"/>
      <c r="G5" s="204"/>
    </row>
    <row r="6" spans="2:12" ht="15" customHeight="1" thickBot="1">
      <c r="B6" s="204"/>
      <c r="C6" s="204"/>
      <c r="D6" s="204"/>
      <c r="E6" s="204"/>
      <c r="F6" s="205" t="s">
        <v>0</v>
      </c>
    </row>
    <row r="7" spans="2:12" ht="15" customHeight="1">
      <c r="B7" s="206"/>
      <c r="C7" s="206"/>
      <c r="D7" s="206"/>
      <c r="E7" s="206"/>
      <c r="F7" s="207" t="s">
        <v>222</v>
      </c>
    </row>
    <row r="8" spans="2:12" ht="15" customHeight="1">
      <c r="B8" s="204"/>
      <c r="C8" s="204"/>
      <c r="D8" s="204"/>
      <c r="E8" s="204"/>
      <c r="F8" s="208" t="s">
        <v>230</v>
      </c>
    </row>
    <row r="9" spans="2:12" ht="15" customHeight="1">
      <c r="B9" s="209" t="s">
        <v>6</v>
      </c>
      <c r="C9" s="209"/>
      <c r="D9" s="209"/>
      <c r="E9" s="210" t="s">
        <v>7</v>
      </c>
      <c r="F9" s="210" t="s">
        <v>1297</v>
      </c>
    </row>
    <row r="10" spans="2:12" ht="15" customHeight="1">
      <c r="B10" s="203"/>
      <c r="C10" s="203"/>
      <c r="D10" s="203"/>
      <c r="E10" s="208"/>
      <c r="F10" s="208"/>
    </row>
    <row r="11" spans="2:12" ht="15" customHeight="1">
      <c r="B11" s="211" t="s">
        <v>1177</v>
      </c>
      <c r="D11" s="203"/>
      <c r="E11" s="203" t="s">
        <v>457</v>
      </c>
      <c r="F11" s="414">
        <v>17.48489055808</v>
      </c>
      <c r="K11" s="208"/>
      <c r="L11" s="208"/>
    </row>
    <row r="12" spans="2:12" ht="15" customHeight="1">
      <c r="B12" s="211" t="s">
        <v>1178</v>
      </c>
      <c r="D12" s="203"/>
      <c r="E12" s="203" t="s">
        <v>550</v>
      </c>
      <c r="F12" s="414">
        <v>12.796577002984666</v>
      </c>
      <c r="K12" s="208"/>
      <c r="L12" s="208"/>
    </row>
    <row r="13" spans="2:12" ht="15" customHeight="1">
      <c r="B13" s="211" t="s">
        <v>1179</v>
      </c>
      <c r="D13" s="203"/>
      <c r="E13" s="203" t="s">
        <v>1180</v>
      </c>
      <c r="F13" s="414">
        <v>1.3843129191196666</v>
      </c>
      <c r="K13" s="208"/>
      <c r="L13" s="208"/>
    </row>
    <row r="14" spans="2:12" ht="15" customHeight="1">
      <c r="B14" s="211" t="s">
        <v>1181</v>
      </c>
      <c r="D14" s="203"/>
      <c r="E14" s="203" t="s">
        <v>1182</v>
      </c>
      <c r="F14" s="414">
        <v>3.4754162691213333</v>
      </c>
      <c r="K14" s="208"/>
      <c r="L14" s="208"/>
    </row>
    <row r="15" spans="2:12" ht="15" customHeight="1">
      <c r="B15" s="211" t="s">
        <v>1183</v>
      </c>
      <c r="D15" s="203"/>
      <c r="E15" s="203" t="s">
        <v>1184</v>
      </c>
      <c r="F15" s="414">
        <v>3.4701722446499996</v>
      </c>
      <c r="K15" s="208"/>
      <c r="L15" s="208"/>
    </row>
    <row r="16" spans="2:12" ht="15" customHeight="1">
      <c r="B16" s="334"/>
      <c r="C16" s="204"/>
      <c r="D16" s="204"/>
      <c r="E16" s="333"/>
      <c r="F16" s="212"/>
    </row>
    <row r="17" spans="2:7" ht="15" customHeight="1" thickBot="1">
      <c r="B17" s="421" t="s">
        <v>42</v>
      </c>
      <c r="C17" s="421"/>
      <c r="D17" s="421"/>
      <c r="E17" s="422"/>
      <c r="F17" s="423">
        <f>MEDIAN(F11:F15)</f>
        <v>3.4754162691213333</v>
      </c>
    </row>
    <row r="18" spans="2:7" ht="15" customHeight="1">
      <c r="G18" s="335"/>
    </row>
    <row r="19" spans="2:7" ht="15" customHeight="1"/>
    <row r="20" spans="2:7" ht="15" customHeight="1">
      <c r="B20" s="204" t="s">
        <v>1564</v>
      </c>
      <c r="C20" s="204"/>
      <c r="D20" s="204"/>
      <c r="E20" s="204"/>
      <c r="F20" s="213"/>
    </row>
    <row r="21" spans="2:7" ht="15" customHeight="1">
      <c r="B21" s="424" t="s">
        <v>1525</v>
      </c>
      <c r="C21" s="425"/>
      <c r="D21" s="425"/>
      <c r="E21" s="426" t="s">
        <v>1</v>
      </c>
      <c r="F21" s="418">
        <v>159.51507100000001</v>
      </c>
    </row>
    <row r="22" spans="2:7" ht="15" customHeight="1">
      <c r="B22" s="424" t="s">
        <v>1465</v>
      </c>
      <c r="C22" s="425"/>
      <c r="D22" s="425"/>
      <c r="E22" s="426" t="s">
        <v>2</v>
      </c>
      <c r="F22" s="427">
        <v>0.52</v>
      </c>
    </row>
    <row r="23" spans="2:7" ht="15" customHeight="1">
      <c r="B23" s="424" t="s">
        <v>1466</v>
      </c>
      <c r="C23" s="425"/>
      <c r="D23" s="425"/>
      <c r="E23" s="426" t="s">
        <v>3</v>
      </c>
      <c r="F23" s="418">
        <f>F21*F22</f>
        <v>82.94783692</v>
      </c>
    </row>
    <row r="25" spans="2:7">
      <c r="B25" s="425" t="s">
        <v>1467</v>
      </c>
      <c r="C25" s="425"/>
      <c r="D25" s="425"/>
      <c r="E25" s="426" t="s">
        <v>4</v>
      </c>
      <c r="F25" s="428">
        <f>F17*1000</f>
        <v>3475.4162691213332</v>
      </c>
    </row>
    <row r="27" spans="2:7" ht="15" customHeight="1">
      <c r="B27" s="203" t="s">
        <v>1427</v>
      </c>
      <c r="C27" s="203"/>
      <c r="D27" s="203"/>
      <c r="E27" s="203"/>
      <c r="F27" s="203"/>
      <c r="G27" s="203"/>
    </row>
    <row r="28" spans="2:7" ht="15" customHeight="1">
      <c r="B28" s="203"/>
      <c r="C28" s="203"/>
      <c r="D28" s="203"/>
      <c r="E28" s="203"/>
      <c r="F28" s="203"/>
      <c r="G28" s="203"/>
    </row>
    <row r="29" spans="2:7" ht="15" customHeight="1" thickBot="1">
      <c r="B29" s="204"/>
      <c r="C29" s="204"/>
      <c r="D29" s="204"/>
      <c r="E29" s="204"/>
      <c r="F29" s="429" t="s">
        <v>5</v>
      </c>
      <c r="G29" s="429" t="s">
        <v>215</v>
      </c>
    </row>
    <row r="30" spans="2:7" ht="15" customHeight="1">
      <c r="B30" s="206"/>
      <c r="C30" s="206"/>
      <c r="D30" s="206"/>
      <c r="E30" s="206"/>
      <c r="F30" s="215" t="s">
        <v>222</v>
      </c>
      <c r="G30" s="216"/>
    </row>
    <row r="31" spans="2:7" ht="15" customHeight="1">
      <c r="B31" s="204"/>
      <c r="C31" s="204"/>
      <c r="D31" s="204"/>
      <c r="E31" s="204"/>
      <c r="F31" s="217" t="s">
        <v>230</v>
      </c>
      <c r="G31" s="218"/>
    </row>
    <row r="32" spans="2:7" ht="15" customHeight="1">
      <c r="B32" s="204"/>
      <c r="C32" s="204"/>
      <c r="D32" s="204"/>
      <c r="E32" s="204"/>
      <c r="F32" s="217" t="s">
        <v>1299</v>
      </c>
      <c r="G32" s="218"/>
    </row>
    <row r="33" spans="2:9" ht="15" customHeight="1">
      <c r="B33" s="204"/>
      <c r="C33" s="204"/>
      <c r="D33" s="204"/>
      <c r="E33" s="204"/>
      <c r="F33" s="217" t="s">
        <v>6</v>
      </c>
      <c r="G33" s="217" t="s">
        <v>1300</v>
      </c>
    </row>
    <row r="34" spans="2:9" ht="15" customHeight="1">
      <c r="B34" s="219" t="s">
        <v>1301</v>
      </c>
      <c r="C34" s="219"/>
      <c r="D34" s="219"/>
      <c r="E34" s="219"/>
      <c r="F34" s="220" t="s">
        <v>1302</v>
      </c>
      <c r="G34" s="220" t="s">
        <v>147</v>
      </c>
    </row>
    <row r="35" spans="2:9" ht="15" customHeight="1">
      <c r="B35" s="211" t="s">
        <v>1303</v>
      </c>
      <c r="C35" s="204"/>
      <c r="D35" s="204"/>
      <c r="E35" s="204"/>
      <c r="F35" s="336">
        <v>2662326.0499999998</v>
      </c>
      <c r="G35" s="221">
        <v>-5.9999999999999995E-4</v>
      </c>
      <c r="I35" s="415"/>
    </row>
    <row r="36" spans="2:9" ht="15" customHeight="1">
      <c r="B36" s="211">
        <v>2</v>
      </c>
      <c r="C36" s="204"/>
      <c r="D36" s="204"/>
      <c r="E36" s="204"/>
      <c r="F36" s="336">
        <v>36391.11</v>
      </c>
      <c r="G36" s="214">
        <v>4.5999999999999999E-3</v>
      </c>
      <c r="I36" s="415"/>
    </row>
    <row r="37" spans="2:9" ht="15" customHeight="1">
      <c r="B37" s="211">
        <v>3</v>
      </c>
      <c r="C37" s="204"/>
      <c r="D37" s="204"/>
      <c r="E37" s="204"/>
      <c r="F37" s="336">
        <v>14820.05</v>
      </c>
      <c r="G37" s="214">
        <v>6.1000000000000004E-3</v>
      </c>
      <c r="I37" s="415"/>
    </row>
    <row r="38" spans="2:9" ht="15" customHeight="1">
      <c r="B38" s="211">
        <v>4</v>
      </c>
      <c r="C38" s="204"/>
      <c r="D38" s="204"/>
      <c r="E38" s="204"/>
      <c r="F38" s="336">
        <v>7461.28</v>
      </c>
      <c r="G38" s="214">
        <v>6.4000000000000003E-3</v>
      </c>
      <c r="I38" s="415"/>
    </row>
    <row r="39" spans="2:9" ht="15" customHeight="1">
      <c r="B39" s="211">
        <v>5</v>
      </c>
      <c r="C39" s="204"/>
      <c r="D39" s="204"/>
      <c r="E39" s="204"/>
      <c r="F39" s="336">
        <v>4621.79</v>
      </c>
      <c r="G39" s="214">
        <v>9.4999999999999998E-3</v>
      </c>
      <c r="I39" s="415"/>
    </row>
    <row r="40" spans="2:9" ht="15" customHeight="1">
      <c r="B40" s="211">
        <v>6</v>
      </c>
      <c r="C40" s="204"/>
      <c r="D40" s="204"/>
      <c r="E40" s="204"/>
      <c r="F40" s="336">
        <v>3010.81</v>
      </c>
      <c r="G40" s="214">
        <v>1.21E-2</v>
      </c>
      <c r="I40" s="415"/>
    </row>
    <row r="41" spans="2:9" ht="15" customHeight="1">
      <c r="B41" s="211">
        <v>7</v>
      </c>
      <c r="C41" s="204"/>
      <c r="D41" s="204"/>
      <c r="E41" s="204"/>
      <c r="F41" s="336">
        <v>1862.49</v>
      </c>
      <c r="G41" s="214">
        <v>1.3899999999999999E-2</v>
      </c>
      <c r="I41" s="415"/>
    </row>
    <row r="42" spans="2:9" ht="15" customHeight="1">
      <c r="B42" s="211">
        <v>8</v>
      </c>
      <c r="C42" s="204"/>
      <c r="D42" s="204"/>
      <c r="E42" s="204"/>
      <c r="F42" s="336">
        <v>1046.04</v>
      </c>
      <c r="G42" s="214">
        <v>1.14E-2</v>
      </c>
    </row>
    <row r="43" spans="2:9" ht="15" customHeight="1">
      <c r="B43" s="211">
        <v>9</v>
      </c>
      <c r="C43" s="204"/>
      <c r="D43" s="204"/>
      <c r="E43" s="204"/>
      <c r="F43" s="336">
        <v>554.52</v>
      </c>
      <c r="G43" s="214">
        <v>1.9900000000000001E-2</v>
      </c>
    </row>
    <row r="44" spans="2:9" ht="15" customHeight="1">
      <c r="B44" s="222" t="s">
        <v>1304</v>
      </c>
      <c r="C44" s="219"/>
      <c r="D44" s="219"/>
      <c r="E44" s="219"/>
      <c r="F44" s="337">
        <v>212.64</v>
      </c>
      <c r="G44" s="223">
        <v>4.7E-2</v>
      </c>
    </row>
    <row r="45" spans="2:9" ht="15" customHeight="1">
      <c r="B45" s="204"/>
      <c r="C45" s="204"/>
      <c r="D45" s="204"/>
      <c r="E45" s="204"/>
      <c r="F45" s="204"/>
      <c r="G45" s="204"/>
    </row>
    <row r="46" spans="2:9" ht="15" customHeight="1">
      <c r="B46" s="204" t="s">
        <v>1565</v>
      </c>
      <c r="C46" s="204"/>
      <c r="D46" s="204"/>
      <c r="E46" s="204"/>
      <c r="F46" s="224">
        <f>F23</f>
        <v>82.94783692</v>
      </c>
      <c r="G46" s="214">
        <f>G44</f>
        <v>4.7E-2</v>
      </c>
    </row>
    <row r="47" spans="2:9" ht="15" customHeight="1">
      <c r="B47" s="204" t="s">
        <v>1468</v>
      </c>
      <c r="C47" s="204"/>
      <c r="D47" s="204"/>
      <c r="E47" s="204"/>
      <c r="F47" s="224">
        <f>F17*1000</f>
        <v>3475.4162691213332</v>
      </c>
      <c r="G47" s="214">
        <f>G39</f>
        <v>9.4999999999999998E-3</v>
      </c>
    </row>
    <row r="48" spans="2:9" ht="15" customHeight="1">
      <c r="B48" s="204"/>
      <c r="C48" s="204"/>
      <c r="D48" s="204"/>
      <c r="E48" s="204"/>
      <c r="F48" s="204"/>
      <c r="G48" s="204"/>
    </row>
    <row r="49" spans="2:7" ht="15" customHeight="1">
      <c r="B49" s="204" t="s">
        <v>1474</v>
      </c>
      <c r="C49" s="204"/>
      <c r="D49" s="204"/>
      <c r="E49" s="204"/>
      <c r="F49" s="204"/>
      <c r="G49" s="214">
        <f>G46-G47</f>
        <v>3.7499999999999999E-2</v>
      </c>
    </row>
    <row r="52" spans="2:7" ht="15" customHeight="1">
      <c r="B52" s="338" t="s">
        <v>15</v>
      </c>
    </row>
    <row r="53" spans="2:7" ht="15" customHeight="1">
      <c r="B53" s="225" t="s">
        <v>1456</v>
      </c>
    </row>
    <row r="54" spans="2:7" ht="15" customHeight="1">
      <c r="B54" s="225" t="s">
        <v>1469</v>
      </c>
    </row>
    <row r="55" spans="2:7" ht="15" customHeight="1">
      <c r="B55" s="225" t="s">
        <v>1470</v>
      </c>
    </row>
    <row r="56" spans="2:7" ht="15" customHeight="1">
      <c r="B56" s="225" t="s">
        <v>1471</v>
      </c>
    </row>
    <row r="57" spans="2:7" ht="15" customHeight="1">
      <c r="B57" s="225" t="s">
        <v>1472</v>
      </c>
    </row>
    <row r="58" spans="2:7" ht="15" customHeight="1">
      <c r="B58" s="225" t="s">
        <v>1473</v>
      </c>
    </row>
    <row r="59" spans="2:7">
      <c r="B59" s="225" t="str">
        <f>"[8] Equals "&amp;TEXT(G46,"0.00%")&amp;" − "&amp;TEXT(G47,"0.00%")</f>
        <v>[8] Equals 4.70% − 0.95%</v>
      </c>
    </row>
  </sheetData>
  <printOptions horizontalCentered="1"/>
  <pageMargins left="0.7" right="0.7" top="1.47" bottom="0.75" header="0.3" footer="0.3"/>
  <pageSetup scale="71" orientation="portrait" useFirstPageNumber="1" r:id="rId1"/>
  <headerFooter scaleWithDoc="0">
    <oddHeader>&amp;RDocket No. U-_____ 
Exhibit AEB-9 
Page &amp;P of 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AEB-2 Summary</vt:lpstr>
      <vt:lpstr>AEB-3 Proxy Selection</vt:lpstr>
      <vt:lpstr>AEB-4 CGDCF</vt:lpstr>
      <vt:lpstr>AEB-5 CAPM&amp;ECAPM</vt:lpstr>
      <vt:lpstr>AEB-6 LT Beta</vt:lpstr>
      <vt:lpstr>AEB-7 Market Return</vt:lpstr>
      <vt:lpstr>AEB-8 RiskPrem</vt:lpstr>
      <vt:lpstr>AEB-9 Size Premium</vt:lpstr>
      <vt:lpstr>AEB-10 CapEx 1</vt:lpstr>
      <vt:lpstr>AEB-10 CapEx 2</vt:lpstr>
      <vt:lpstr>AEB-11 Reg Risk</vt:lpstr>
      <vt:lpstr>AEB-12 Weather Rank</vt:lpstr>
      <vt:lpstr>AEB-13 Flotation Costs</vt:lpstr>
      <vt:lpstr>AEB-14 Capital Structure</vt:lpstr>
      <vt:lpstr>AEB-15 Cost of Debt</vt:lpstr>
      <vt:lpstr>'AEB-10 CapEx 1'!Print_Area</vt:lpstr>
      <vt:lpstr>'AEB-10 CapEx 2'!Print_Area</vt:lpstr>
      <vt:lpstr>'AEB-12 Weather Rank'!Print_Area</vt:lpstr>
      <vt:lpstr>'AEB-13 Flotation Costs'!Print_Area</vt:lpstr>
      <vt:lpstr>'AEB-14 Capital Structure'!Print_Area</vt:lpstr>
      <vt:lpstr>'AEB-15 Cost of Debt'!Print_Area</vt:lpstr>
      <vt:lpstr>'AEB-2 Summary'!Print_Area</vt:lpstr>
      <vt:lpstr>'AEB-3 Proxy Selection'!Print_Area</vt:lpstr>
      <vt:lpstr>'AEB-4 CGDCF'!Print_Area</vt:lpstr>
      <vt:lpstr>'AEB-5 CAPM&amp;ECAPM'!Print_Area</vt:lpstr>
      <vt:lpstr>'AEB-6 LT Beta'!Print_Area</vt:lpstr>
      <vt:lpstr>'AEB-7 Market Return'!Print_Area</vt:lpstr>
      <vt:lpstr>'AEB-8 RiskPrem'!Print_Area</vt:lpstr>
      <vt:lpstr>'AEB-9 Size Premium'!Print_Area</vt:lpstr>
      <vt:lpstr>'AEB-7 Market Return'!Print_Titles</vt:lpstr>
      <vt:lpstr>'AEB-8 RiskPrem'!Print_Titles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2024-01-28T01:29:52Z</dcterms:created>
  <dcterms:modified xsi:type="dcterms:W3CDTF">2024-07-31T14:37:47Z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{D85436A5-17DB-44B3-A8EC-25DC09724285}</vt:lpwstr>
  </property>
</Properties>
</file>